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nders\Downloads\"/>
    </mc:Choice>
  </mc:AlternateContent>
  <xr:revisionPtr revIDLastSave="0" documentId="13_ncr:1_{3C295027-BE95-4ECD-82A8-DE550FCB59CF}" xr6:coauthVersionLast="47" xr6:coauthVersionMax="47" xr10:uidLastSave="{00000000-0000-0000-0000-000000000000}"/>
  <bookViews>
    <workbookView xWindow="57495" yWindow="0" windowWidth="19410" windowHeight="20985" xr2:uid="{2E7B4A4F-654B-4B60-9AA6-51D7B133387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 i="1" l="1"/>
  <c r="J2" i="1" l="1"/>
  <c r="G2" i="1"/>
  <c r="L2" i="1"/>
  <c r="Q2" i="1" s="1"/>
  <c r="E2" i="1"/>
  <c r="M2" i="1" l="1"/>
  <c r="B2" i="1" s="1"/>
</calcChain>
</file>

<file path=xl/sharedStrings.xml><?xml version="1.0" encoding="utf-8"?>
<sst xmlns="http://schemas.openxmlformats.org/spreadsheetml/2006/main" count="58" uniqueCount="58">
  <si>
    <t>Ammo</t>
  </si>
  <si>
    <t>OHREF Score Total</t>
  </si>
  <si>
    <t>Loaded Weight (gr)</t>
  </si>
  <si>
    <t>Fired Weight</t>
  </si>
  <si>
    <t>Fired Weight Score</t>
  </si>
  <si>
    <t>Penetration Depth (inches)</t>
  </si>
  <si>
    <t>Penetration Depth Score</t>
  </si>
  <si>
    <t>Expansion (inches)</t>
  </si>
  <si>
    <t>Bullet Diameter</t>
  </si>
  <si>
    <t>Expansion Score</t>
  </si>
  <si>
    <t>Muzzle Velocity (fps)</t>
  </si>
  <si>
    <t>Muzzle Energy (ft-lbf)</t>
  </si>
  <si>
    <t>Muzzle Engery Score</t>
  </si>
  <si>
    <t>Magazine Capacity Score</t>
  </si>
  <si>
    <t>Energy Per Magazine (Standard Capacity)</t>
  </si>
  <si>
    <t>Your Ammo</t>
  </si>
  <si>
    <t>How To Use This Calculator</t>
  </si>
  <si>
    <t>If You'd like to compare a specific ammunition from your own or others testing and would like to compare it using the OHREF scoring system you can enter the numbers here and have an idea of how it compares overall to other calibers. A score of 100 or higher should be acceptable and pass all standards for FBI ballistics testing with four layers of clothing.</t>
  </si>
  <si>
    <t xml:space="preserve">Fill out the orange highlighted cells with the weight (ideally weight after firing), penetration depth, expansion, starting diameter (easily obtainable from online sources), and magazine capacity for your firearm. </t>
  </si>
  <si>
    <t>Tuning Variables</t>
  </si>
  <si>
    <t>Minimum Penetration Accepted</t>
  </si>
  <si>
    <t>Minimum Penetration</t>
  </si>
  <si>
    <t>Minimum Accepted Retained Weight (% as Decimal)</t>
  </si>
  <si>
    <t>Failure To Pass Penalty Reduce Score Multiplyer</t>
  </si>
  <si>
    <t>Muzzle Energy Tuning Variable</t>
  </si>
  <si>
    <t>Min Ideal Penetration Range</t>
  </si>
  <si>
    <t>Max Ideal Penetration Range</t>
  </si>
  <si>
    <t>Penetration Top Out Range</t>
  </si>
  <si>
    <t>Penetration Tuning Variable</t>
  </si>
  <si>
    <t>Ideal Expansion Diameter (1.5 Times 9mm Bullet)</t>
  </si>
  <si>
    <t>Expansion Tuning Variable</t>
  </si>
  <si>
    <t>Ideal Magazine Capacity</t>
  </si>
  <si>
    <t>Magazine Capacity Tuning Variable</t>
  </si>
  <si>
    <t>Weight Retention Tuning Variable</t>
  </si>
  <si>
    <t>OHREF Standard Minimum Penetration</t>
  </si>
  <si>
    <t>FBI Ballistics Testing Minimum Penetration</t>
  </si>
  <si>
    <t>Minimum Expansion allowed in OHREF Standard</t>
  </si>
  <si>
    <t>Percent of weight retained by the round after firing allowed</t>
  </si>
  <si>
    <t>Penalty for not passing initial tests. Increase for lower penalty, decrease for higher</t>
  </si>
  <si>
    <t>Importance of muzzle energy in score</t>
  </si>
  <si>
    <t>Target minimum range for the OHREF Standard</t>
  </si>
  <si>
    <t>Maximum penetration depth for regular scoring</t>
  </si>
  <si>
    <t>Additional penetration depth allowed for a slightly better score. Anything beyond is graded at zero</t>
  </si>
  <si>
    <t>Importance of penetration in score</t>
  </si>
  <si>
    <t>Ideal expansion size for fired round</t>
  </si>
  <si>
    <t>Importance of expansion in score</t>
  </si>
  <si>
    <t>Desired minimum magazine capacity</t>
  </si>
  <si>
    <t>Importance of magazine capacity in score</t>
  </si>
  <si>
    <t>Importance of weight retention in score</t>
  </si>
  <si>
    <t>Adjusting Tuning Variables</t>
  </si>
  <si>
    <t>If you would like to adjust the tuning variables you can do so with the fields above. The current tuning variables allow for the FBI standards and a less than one inch over the 18" standard to not over penalize bullets that slightly go over the standard, along with an ideal expansion of 1.5x a standard 9mm bullet and an ideal capacity of 15 rounds. Values for importance (weights) can be adjusted as well. Penetration importance is set higest followed by capacity,muzzle energy,  retained weight, and then expansion.</t>
  </si>
  <si>
    <t>Magazine Capacity (Include Chambered Round)</t>
  </si>
  <si>
    <t>Additional Rounds</t>
  </si>
  <si>
    <t>Magazine Not in Gun Penalty</t>
  </si>
  <si>
    <t>Extra Rounds Carried Tuning Variable</t>
  </si>
  <si>
    <t xml:space="preserve">Value of rounds held in extra magazines. </t>
  </si>
  <si>
    <t>Minimum Expansion Accepted Multiplier</t>
  </si>
  <si>
    <t>Score penalty for having to relaod these extra rounds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</si>
</sst>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9" x14ac:knownFonts="1">
    <font>
      <sz val="11"/>
      <color theme="1"/>
      <name val="Aptos Narrow"/>
      <family val="2"/>
      <scheme val="minor"/>
    </font>
    <font>
      <sz val="11"/>
      <color theme="1"/>
      <name val="Aptos Narrow"/>
      <family val="2"/>
      <scheme val="minor"/>
    </font>
    <font>
      <b/>
      <sz val="15"/>
      <color theme="3"/>
      <name val="Aptos Narrow"/>
      <family val="2"/>
      <scheme val="minor"/>
    </font>
    <font>
      <b/>
      <sz val="13"/>
      <color theme="3"/>
      <name val="Aptos Narrow"/>
      <family val="2"/>
      <scheme val="minor"/>
    </font>
    <font>
      <sz val="11"/>
      <color rgb="FF3F3F76"/>
      <name val="Aptos Narrow"/>
      <family val="2"/>
      <scheme val="minor"/>
    </font>
    <font>
      <b/>
      <sz val="11"/>
      <color rgb="FF3F3F3F"/>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4"/>
      </patternFill>
    </fill>
    <fill>
      <patternFill patternType="solid">
        <fgColor theme="4" tint="0.79998168889431442"/>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style="thin">
        <color rgb="FF3F3F3F"/>
      </right>
      <top style="thin">
        <color rgb="FF3F3F3F"/>
      </top>
      <bottom style="thin">
        <color rgb="FF3F3F3F"/>
      </bottom>
      <diagonal/>
    </border>
    <border>
      <left/>
      <right/>
      <top style="thick">
        <color theme="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theme="4" tint="0.499984740745262"/>
      </top>
      <bottom/>
      <diagonal/>
    </border>
  </borders>
  <cellStyleXfs count="9">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2" borderId="3" applyNumberFormat="0" applyAlignment="0" applyProtection="0"/>
    <xf numFmtId="0" fontId="5" fillId="3" borderId="4"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1" fillId="5" borderId="0" applyNumberFormat="0" applyBorder="0" applyAlignment="0" applyProtection="0"/>
  </cellStyleXfs>
  <cellXfs count="37">
    <xf numFmtId="0" fontId="0" fillId="0" borderId="0" xfId="0"/>
    <xf numFmtId="0" fontId="8" fillId="4" borderId="0" xfId="7" applyBorder="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5" fillId="3" borderId="5" xfId="5" applyBorder="1" applyAlignment="1">
      <alignment horizontal="center" vertical="center"/>
    </xf>
    <xf numFmtId="2" fontId="0" fillId="0" borderId="0" xfId="0" applyNumberFormat="1" applyAlignment="1">
      <alignment horizontal="center" vertical="center"/>
    </xf>
    <xf numFmtId="1" fontId="4" fillId="2" borderId="3" xfId="4" applyNumberFormat="1" applyAlignment="1">
      <alignment horizontal="center" vertical="center"/>
    </xf>
    <xf numFmtId="164" fontId="6" fillId="0" borderId="0" xfId="0" applyNumberFormat="1" applyFont="1" applyAlignment="1">
      <alignment horizontal="center" vertical="center"/>
    </xf>
    <xf numFmtId="164" fontId="4" fillId="2" borderId="3" xfId="4" applyNumberFormat="1" applyAlignment="1">
      <alignment horizontal="center" vertical="center"/>
    </xf>
    <xf numFmtId="1" fontId="0" fillId="0" borderId="0" xfId="0" applyNumberFormat="1" applyAlignment="1">
      <alignment horizontal="center" vertical="center"/>
    </xf>
    <xf numFmtId="0" fontId="0" fillId="0" borderId="0" xfId="0" applyAlignment="1">
      <alignment horizontal="center" vertical="center" wrapText="1"/>
    </xf>
    <xf numFmtId="0" fontId="3" fillId="0" borderId="0" xfId="3" applyBorder="1"/>
    <xf numFmtId="0" fontId="0" fillId="5" borderId="7" xfId="8" applyFont="1" applyBorder="1" applyAlignment="1">
      <alignment horizontal="center" vertical="center" wrapText="1"/>
    </xf>
    <xf numFmtId="0" fontId="0" fillId="5" borderId="8" xfId="8" applyFont="1" applyBorder="1" applyAlignment="1">
      <alignment horizontal="center" vertical="center" wrapText="1"/>
    </xf>
    <xf numFmtId="0" fontId="4" fillId="2" borderId="12" xfId="4" applyBorder="1" applyAlignment="1">
      <alignment horizontal="center" vertical="center"/>
    </xf>
    <xf numFmtId="0" fontId="4" fillId="2" borderId="13" xfId="4" applyBorder="1" applyAlignment="1">
      <alignment horizontal="center" vertical="center"/>
    </xf>
    <xf numFmtId="0" fontId="7" fillId="0" borderId="0" xfId="6" applyAlignment="1">
      <alignment horizontal="center" vertical="center" wrapText="1"/>
    </xf>
    <xf numFmtId="165" fontId="4" fillId="2" borderId="3" xfId="4" applyNumberFormat="1" applyAlignment="1">
      <alignment horizontal="center" vertical="center"/>
    </xf>
    <xf numFmtId="0" fontId="0" fillId="0" borderId="0" xfId="0" applyAlignment="1">
      <alignment wrapText="1"/>
    </xf>
    <xf numFmtId="0" fontId="2" fillId="0" borderId="1" xfId="2" applyAlignment="1">
      <alignment horizontal="center" vertical="center"/>
    </xf>
    <xf numFmtId="0" fontId="0" fillId="0" borderId="6" xfId="0" applyBorder="1" applyAlignment="1">
      <alignment horizont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 fillId="0" borderId="2" xfId="3" applyAlignment="1">
      <alignment horizontal="center"/>
    </xf>
    <xf numFmtId="0" fontId="0" fillId="0" borderId="15" xfId="0" applyBorder="1" applyAlignment="1">
      <alignment horizontal="center" vertical="center" wrapText="1"/>
    </xf>
    <xf numFmtId="0" fontId="6" fillId="5" borderId="8" xfId="8" applyFont="1" applyBorder="1" applyAlignment="1">
      <alignment horizontal="center" vertical="center" wrapText="1"/>
    </xf>
    <xf numFmtId="2" fontId="6" fillId="2" borderId="13" xfId="1" applyNumberFormat="1" applyFont="1" applyFill="1" applyBorder="1" applyAlignment="1">
      <alignment horizontal="center" vertical="center"/>
    </xf>
    <xf numFmtId="0" fontId="6" fillId="2" borderId="13" xfId="4" applyFont="1" applyBorder="1" applyAlignment="1">
      <alignment horizontal="center" vertical="center"/>
    </xf>
    <xf numFmtId="0" fontId="6" fillId="5" borderId="9" xfId="8" applyFont="1" applyBorder="1" applyAlignment="1">
      <alignment horizontal="center" vertical="center" wrapText="1"/>
    </xf>
    <xf numFmtId="0" fontId="6" fillId="2" borderId="14" xfId="4" applyFont="1" applyBorder="1" applyAlignment="1">
      <alignment horizontal="center" vertical="center"/>
    </xf>
  </cellXfs>
  <cellStyles count="9">
    <cellStyle name="20% - Accent1" xfId="8" builtinId="30"/>
    <cellStyle name="Accent1" xfId="7" builtinId="29"/>
    <cellStyle name="Explanatory Text" xfId="6" builtinId="53"/>
    <cellStyle name="Heading 1" xfId="2" builtinId="16"/>
    <cellStyle name="Heading 2" xfId="3" builtinId="17"/>
    <cellStyle name="Input" xfId="4" builtinId="20"/>
    <cellStyle name="Normal" xfId="0" builtinId="0"/>
    <cellStyle name="Output" xfId="5" builtinId="21"/>
    <cellStyle name="Percent" xfId="1" builtinId="5"/>
  </cellStyles>
  <dxfs count="22">
    <dxf>
      <font>
        <b/>
        <i/>
        <color rgb="FF00B050"/>
      </font>
    </dxf>
    <dxf>
      <font>
        <b/>
        <i/>
        <color rgb="FFC00000"/>
      </font>
    </dxf>
    <dxf>
      <numFmt numFmtId="1" formatCode="0"/>
      <alignment horizontal="center" vertical="center" textRotation="0" wrapText="0" indent="0" justifyLastLine="0" shrinkToFit="0" readingOrder="0"/>
    </dxf>
    <dxf>
      <font>
        <b val="0"/>
      </font>
      <numFmt numFmtId="164" formatCode="0.00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164" formatCode="0.000"/>
      <alignment horizontal="center" vertical="center" textRotation="0" wrapText="0" indent="0" justifyLastLine="0" shrinkToFit="0" readingOrder="0"/>
    </dxf>
    <dxf>
      <numFmt numFmtId="164" formatCode="0.00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164" formatCode="0.000"/>
      <alignment horizontal="center" vertical="center" textRotation="0" wrapText="0" indent="0" justifyLastLine="0" shrinkToFit="0" readingOrder="0"/>
    </dxf>
    <dxf>
      <numFmt numFmtId="164" formatCode="0.00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numFmt numFmtId="164" formatCode="0.000"/>
      <alignment horizontal="center" vertical="center" textRotation="0" wrapText="0" indent="0" justifyLastLine="0" shrinkToFit="0" readingOrder="0"/>
    </dxf>
    <dxf>
      <numFmt numFmtId="164" formatCode="0.000"/>
      <alignment horizontal="center" vertical="center" textRotation="0" wrapText="0" indent="0" justifyLastLine="0" shrinkToFit="0" readingOrder="0"/>
      <border outline="0">
        <left style="thin">
          <color rgb="FF7F7F7F"/>
        </left>
      </border>
    </dxf>
    <dxf>
      <numFmt numFmtId="165" formatCode="0.0"/>
      <alignment horizontal="center" vertical="center" textRotation="0" wrapText="0" indent="0" justifyLastLine="0" shrinkToFit="0" readingOrder="0"/>
    </dxf>
    <dxf>
      <numFmt numFmtId="164" formatCode="0.000"/>
      <alignment horizontal="center" vertical="center" textRotation="0" wrapText="0" indent="0" justifyLastLine="0" shrinkToFit="0" readingOrder="0"/>
      <border outline="0">
        <right style="thin">
          <color rgb="FF7F7F7F"/>
        </right>
      </border>
    </dxf>
    <dxf>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numFmt numFmtId="2" formatCode="0.00"/>
      <alignment horizontal="center" vertical="center" textRotation="0" wrapText="0" indent="0" justifyLastLine="0" shrinkToFit="0" readingOrder="0"/>
    </dxf>
    <dxf>
      <alignment horizontal="center" vertical="center"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AE3878-677D-4B07-9D2A-9154A0C50CAB}" name="Table73" displayName="Table73" ref="A1:Q2" totalsRowShown="0" headerRowDxfId="21" dataDxfId="20" tableBorderDxfId="19" headerRowCellStyle="Accent1" dataCellStyle="Input">
  <autoFilter ref="A1:Q2" xr:uid="{F6AE3878-677D-4B07-9D2A-9154A0C50CAB}"/>
  <tableColumns count="17">
    <tableColumn id="1" xr3:uid="{794C0D32-3C0B-4264-93CB-4F67BBCFA2D6}" name="Ammo" dataDxfId="18" dataCellStyle="Output"/>
    <tableColumn id="2" xr3:uid="{DB33B4CD-8C37-4797-99D0-D2ADCB35C31E}" name="OHREF Score Total" dataDxfId="17">
      <calculatedColumnFormula>(IF(AND(F2&gt;=A12,F2&lt;I12,H2&gt;=(I2*C12),D2/C2&gt;=D12),
(M2
+G2
+J2
+P2
+E2)*100,
(E12*(M2
+G2
+J2
+P2
+E2)*100)))</calculatedColumnFormula>
    </tableColumn>
    <tableColumn id="3" xr3:uid="{717A4FAA-FE4E-4DA9-991B-10FDB1C71853}" name="Loaded Weight (gr)" dataDxfId="16" dataCellStyle="Input">
      <calculatedColumnFormula>(IF(AND(G2&gt;=13.5,G2&lt;24,I2&gt;=(J2*1.2),E2/D2&gt;=0.85),
(N2
+H2
+K2
+Q2
+F2)*100,
(0.75*(N2
+H2
+K2
+Q2
+F2)*100)))</calculatedColumnFormula>
    </tableColumn>
    <tableColumn id="10" xr3:uid="{FA246ECC-4160-4230-B031-C8C60F8F6E07}" name="Fired Weight" dataDxfId="15" dataCellStyle="Input"/>
    <tableColumn id="4" xr3:uid="{F301D029-180B-4719-AF8F-37FA6BC1B0B5}" name="Fired Weight Score" dataDxfId="14" dataCellStyle="Output">
      <calculatedColumnFormula>IF(D2/C2&gt;=(C2*0.85),(D2/C2)*Q12,((D2/C2)/0.85)*Q12)</calculatedColumnFormula>
    </tableColumn>
    <tableColumn id="5" xr3:uid="{26BDF266-41D0-40FD-A722-125A3491C98F}" name="Penetration Depth (inches)" dataDxfId="13" dataCellStyle="Input"/>
    <tableColumn id="6" xr3:uid="{A139673D-D37D-40B5-89EE-D70F18106D4C}" name="Penetration Depth Score" dataDxfId="12" dataCellStyle="Output">
      <calculatedColumnFormula>IF(F2&lt;B12,
    0,
    IF(F2&lt;=H12,
        ((F2 - G12) / (6 ^ 1.5) * 0.15 + 0.85) * J12,
        IF(F2&lt;=I12,
            (((H12 - G12) / (6 ^ 1.5) * 0.15 + 0.85) * J12) +
            ((F2 - H12) / (6 ^ 1.5) * 0.15 * 0.1) * J12,
            IF(F2&lt;=I12,
                (
                    (
                        ((H12 - G12) / (6 ^ 1.5) * 0.15 + 0.85) +
                        (5 / (6 ^ 1.5) * 0.15 * 0.1)
                    ) * J12
                ) * (1 - ((F2 - I12) / 5)),
                0
            )
        )
    )
)</calculatedColumnFormula>
    </tableColumn>
    <tableColumn id="7" xr3:uid="{FEF9B97D-6755-4A64-B168-53368580B10D}" name="Expansion (inches)" dataDxfId="11" dataCellStyle="Input"/>
    <tableColumn id="8" xr3:uid="{AD63182A-62EE-4E75-B2CD-3D147C346CFC}" name="Bullet Diameter" dataDxfId="10" dataCellStyle="Input"/>
    <tableColumn id="9" xr3:uid="{FBA67FB2-9A21-468A-B01B-387D361FBBCF}" name="Expansion Score" dataDxfId="9" dataCellStyle="Output">
      <calculatedColumnFormula>IF(H2&gt;=(I2*C12),(((((H2/K12)^2)*0.25)+(((H2/I2)^2)*0.75))*(0.25))*(L12),0)</calculatedColumnFormula>
    </tableColumn>
    <tableColumn id="11" xr3:uid="{8D376731-B2BA-413A-820E-E51B8D9BBD87}" name="Muzzle Velocity (fps)" dataDxfId="8" dataCellStyle="Input"/>
    <tableColumn id="12" xr3:uid="{28B362FF-A0CE-4227-925D-2A80061D3F26}" name="Muzzle Energy (ft-lbf)" dataDxfId="7" dataCellStyle="Output">
      <calculatedColumnFormula>(C2*(K2^2))/450437</calculatedColumnFormula>
    </tableColumn>
    <tableColumn id="14" xr3:uid="{C260A47C-E4BD-4405-8CCC-A363A7F72280}" name="Muzzle Engery Score" dataDxfId="6" dataCellStyle="Output">
      <calculatedColumnFormula>(((L2/100)/2)*F12)</calculatedColumnFormula>
    </tableColumn>
    <tableColumn id="13" xr3:uid="{30CA351E-FC10-434A-A845-169D27EE1C45}" name="Magazine Capacity (Include Chambered Round)" dataDxfId="5" dataCellStyle="Input"/>
    <tableColumn id="17" xr3:uid="{A5E803A1-ADEE-4895-8F41-5D671243FB43}" name="Additional Rounds" dataDxfId="4" dataCellStyle="Input"/>
    <tableColumn id="15" xr3:uid="{B1A2E289-0980-47C0-9932-6F4D0C9517F2}" name="Magazine Capacity Score" dataDxfId="3" dataCellStyle="Output">
      <calculatedColumnFormula>((N2/M12)*P12)+(((O2*O12)*N12)/M12)*P12</calculatedColumnFormula>
    </tableColumn>
    <tableColumn id="16" xr3:uid="{4F51BA5F-596E-4DA9-A952-62FCDD3AFAC0}" name="Energy Per Magazine (Standard Capacity)" dataDxfId="2" dataCellStyle="Input">
      <calculatedColumnFormula>L2*N2</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2F34B-28A8-4FC3-91A4-5EA03A5A57E5}">
  <dimension ref="A1:Q20"/>
  <sheetViews>
    <sheetView tabSelected="1" workbookViewId="0">
      <selection activeCell="O3" sqref="O3"/>
    </sheetView>
  </sheetViews>
  <sheetFormatPr defaultRowHeight="15" x14ac:dyDescent="0.25"/>
  <cols>
    <col min="1" max="1" width="31.140625" bestFit="1" customWidth="1"/>
    <col min="2" max="2" width="33" customWidth="1"/>
    <col min="3" max="4" width="22.42578125" customWidth="1"/>
    <col min="5" max="5" width="26.5703125" customWidth="1"/>
    <col min="6" max="6" width="29.140625" customWidth="1"/>
    <col min="7" max="7" width="25.5703125" customWidth="1"/>
    <col min="8" max="8" width="23.5703125" customWidth="1"/>
    <col min="9" max="9" width="26.42578125" bestFit="1" customWidth="1"/>
    <col min="10" max="10" width="37.5703125" bestFit="1" customWidth="1"/>
    <col min="11" max="11" width="36.140625" customWidth="1"/>
    <col min="12" max="13" width="27.42578125" customWidth="1"/>
    <col min="14" max="15" width="31.7109375" customWidth="1"/>
    <col min="16" max="16" width="30" customWidth="1"/>
    <col min="17" max="17" width="42.42578125" customWidth="1"/>
    <col min="18" max="18" width="23.140625" customWidth="1"/>
  </cols>
  <sheetData>
    <row r="1" spans="1:17" ht="30" x14ac:dyDescent="0.25">
      <c r="A1" s="1" t="s">
        <v>0</v>
      </c>
      <c r="B1" s="2" t="s">
        <v>1</v>
      </c>
      <c r="C1" s="2" t="s">
        <v>2</v>
      </c>
      <c r="D1" s="2" t="s">
        <v>3</v>
      </c>
      <c r="E1" s="3" t="s">
        <v>4</v>
      </c>
      <c r="F1" s="2" t="s">
        <v>5</v>
      </c>
      <c r="G1" s="3" t="s">
        <v>6</v>
      </c>
      <c r="H1" s="2" t="s">
        <v>7</v>
      </c>
      <c r="I1" s="2" t="s">
        <v>8</v>
      </c>
      <c r="J1" s="3" t="s">
        <v>9</v>
      </c>
      <c r="K1" s="2" t="s">
        <v>10</v>
      </c>
      <c r="L1" s="2" t="s">
        <v>11</v>
      </c>
      <c r="M1" s="3" t="s">
        <v>12</v>
      </c>
      <c r="N1" s="10" t="s">
        <v>51</v>
      </c>
      <c r="O1" s="2" t="s">
        <v>52</v>
      </c>
      <c r="P1" s="3" t="s">
        <v>13</v>
      </c>
      <c r="Q1" s="2" t="s">
        <v>14</v>
      </c>
    </row>
    <row r="2" spans="1:17" ht="66.75" customHeight="1" x14ac:dyDescent="0.25">
      <c r="A2" s="4" t="s">
        <v>15</v>
      </c>
      <c r="B2" s="5">
        <f>(IF(AND(F2&gt;=A12,F2&lt;I12,H2&gt;=(I2*C12),D2/C2&gt;=D12),
(M2
+G2
+J2
+P2
+E2)*100,
(E12*(M2
+G2
+J2
+P2
+E2)*100)))</f>
        <v>134.51455169881456</v>
      </c>
      <c r="C2" s="6">
        <v>125</v>
      </c>
      <c r="D2" s="6">
        <v>125</v>
      </c>
      <c r="E2" s="7">
        <f>IF(D2/C2&gt;=(C2*0.85),(D2/C2)*Q12,((D2/C2)/0.85)*Q12)</f>
        <v>0.17647058823529413</v>
      </c>
      <c r="F2" s="17">
        <v>15.4</v>
      </c>
      <c r="G2" s="7">
        <f>IF(F2&lt;B12,
    0,
    IF(F2&lt;=H12,
        ((F2 - G12) / (6 ^ 1.5) * 0.15 + 0.85) * J12,
        IF(F2&lt;=I12,
            (((H12 - G12) / (6 ^ 1.5) * 0.15 + 0.85) * J12) +
            ((F2 - H12) / (6 ^ 1.5) * 0.15 * 0.1) * J12,
            IF(F2&lt;=I12,
                (
                    (
                        ((H12 - G12) / (6 ^ 1.5) * 0.15 + 0.85) +
                        (5 / (6 ^ 1.5) * 0.15 * 0.1)
                    ) * J12
                ) * (1 - ((F2 - I12) / 5)),
                0
            )
        )
    )
)</f>
        <v>0.34571547606649411</v>
      </c>
      <c r="H2" s="8">
        <v>0.69</v>
      </c>
      <c r="I2" s="8">
        <v>0.35499999999999998</v>
      </c>
      <c r="J2" s="7">
        <f>IF(H2&gt;=(I2*C12),(((((H2/K12)^2)*0.25)+(((H2/I2)^2)*0.75))*(0.25))*(L12),0)</f>
        <v>0.12199216425312437</v>
      </c>
      <c r="K2" s="6">
        <v>1423</v>
      </c>
      <c r="L2" s="9">
        <f>(C2*(K2^2))/450437</f>
        <v>561.93457686646525</v>
      </c>
      <c r="M2" s="7">
        <f>(((L2/100)/2)*F12)</f>
        <v>0.28096728843323265</v>
      </c>
      <c r="N2" s="6">
        <v>15</v>
      </c>
      <c r="O2" s="6">
        <v>30</v>
      </c>
      <c r="P2" s="7">
        <f>((N2/M12)*P12)+(((O2*O12)*N12)/M12)*P12</f>
        <v>0.42000000000000004</v>
      </c>
      <c r="Q2" s="9">
        <f t="shared" ref="Q2" si="0">L2*N2</f>
        <v>8429.0186529969797</v>
      </c>
    </row>
    <row r="4" spans="1:17" ht="20.25" thickBot="1" x14ac:dyDescent="0.3">
      <c r="B4" s="19" t="s">
        <v>16</v>
      </c>
      <c r="C4" s="19"/>
      <c r="D4" s="19"/>
      <c r="E4" s="19"/>
    </row>
    <row r="5" spans="1:17" ht="16.5" thickTop="1" thickBot="1" x14ac:dyDescent="0.3">
      <c r="B5" s="20"/>
      <c r="C5" s="20"/>
      <c r="D5" s="20"/>
      <c r="E5" s="20"/>
    </row>
    <row r="6" spans="1:17" ht="15" customHeight="1" x14ac:dyDescent="0.25">
      <c r="B6" s="21" t="s">
        <v>17</v>
      </c>
      <c r="C6" s="22"/>
      <c r="D6" s="22"/>
      <c r="E6" s="23"/>
    </row>
    <row r="7" spans="1:17" ht="45" customHeight="1" x14ac:dyDescent="0.25">
      <c r="B7" s="24"/>
      <c r="C7" s="25"/>
      <c r="D7" s="25"/>
      <c r="E7" s="26"/>
    </row>
    <row r="8" spans="1:17" ht="39.75" customHeight="1" thickBot="1" x14ac:dyDescent="0.3">
      <c r="B8" s="27" t="s">
        <v>18</v>
      </c>
      <c r="C8" s="28"/>
      <c r="D8" s="28"/>
      <c r="E8" s="29"/>
    </row>
    <row r="10" spans="1:17" ht="18" thickBot="1" x14ac:dyDescent="0.35">
      <c r="A10" s="11" t="s">
        <v>19</v>
      </c>
    </row>
    <row r="11" spans="1:17" s="18" customFormat="1" ht="120" customHeight="1" x14ac:dyDescent="0.25">
      <c r="A11" s="12" t="s">
        <v>20</v>
      </c>
      <c r="B11" s="13" t="s">
        <v>21</v>
      </c>
      <c r="C11" s="13" t="s">
        <v>56</v>
      </c>
      <c r="D11" s="13" t="s">
        <v>22</v>
      </c>
      <c r="E11" s="13" t="s">
        <v>23</v>
      </c>
      <c r="F11" s="32" t="s">
        <v>24</v>
      </c>
      <c r="G11" s="13" t="s">
        <v>25</v>
      </c>
      <c r="H11" s="13" t="s">
        <v>26</v>
      </c>
      <c r="I11" s="13" t="s">
        <v>27</v>
      </c>
      <c r="J11" s="32" t="s">
        <v>28</v>
      </c>
      <c r="K11" s="13" t="s">
        <v>29</v>
      </c>
      <c r="L11" s="32" t="s">
        <v>30</v>
      </c>
      <c r="M11" s="13" t="s">
        <v>31</v>
      </c>
      <c r="N11" s="32" t="s">
        <v>53</v>
      </c>
      <c r="O11" s="32" t="s">
        <v>54</v>
      </c>
      <c r="P11" s="32" t="s">
        <v>32</v>
      </c>
      <c r="Q11" s="35" t="s">
        <v>33</v>
      </c>
    </row>
    <row r="12" spans="1:17" ht="15.75" thickBot="1" x14ac:dyDescent="0.3">
      <c r="A12" s="14">
        <v>13.5</v>
      </c>
      <c r="B12" s="15">
        <v>12</v>
      </c>
      <c r="C12" s="15">
        <v>1.2</v>
      </c>
      <c r="D12" s="15">
        <v>0.85</v>
      </c>
      <c r="E12" s="15">
        <v>0.75</v>
      </c>
      <c r="F12" s="33">
        <v>0.1</v>
      </c>
      <c r="G12" s="15">
        <v>14</v>
      </c>
      <c r="H12" s="15">
        <v>19</v>
      </c>
      <c r="I12" s="15">
        <v>24</v>
      </c>
      <c r="J12" s="34">
        <v>0.4</v>
      </c>
      <c r="K12" s="15">
        <v>0.53249999999999997</v>
      </c>
      <c r="L12" s="34">
        <v>0.15</v>
      </c>
      <c r="M12" s="15">
        <v>15</v>
      </c>
      <c r="N12" s="34">
        <v>0.25</v>
      </c>
      <c r="O12" s="34">
        <v>0.1</v>
      </c>
      <c r="P12" s="34">
        <v>0.4</v>
      </c>
      <c r="Q12" s="36">
        <v>0.15</v>
      </c>
    </row>
    <row r="13" spans="1:17" ht="69.75" customHeight="1" x14ac:dyDescent="0.25">
      <c r="A13" s="16" t="s">
        <v>34</v>
      </c>
      <c r="B13" s="16" t="s">
        <v>35</v>
      </c>
      <c r="C13" s="16" t="s">
        <v>36</v>
      </c>
      <c r="D13" s="16" t="s">
        <v>37</v>
      </c>
      <c r="E13" s="16" t="s">
        <v>38</v>
      </c>
      <c r="F13" s="16" t="s">
        <v>39</v>
      </c>
      <c r="G13" s="16" t="s">
        <v>40</v>
      </c>
      <c r="H13" s="16" t="s">
        <v>41</v>
      </c>
      <c r="I13" s="16" t="s">
        <v>42</v>
      </c>
      <c r="J13" s="16" t="s">
        <v>43</v>
      </c>
      <c r="K13" s="16" t="s">
        <v>44</v>
      </c>
      <c r="L13" s="16" t="s">
        <v>45</v>
      </c>
      <c r="M13" s="16" t="s">
        <v>46</v>
      </c>
      <c r="N13" s="16" t="s">
        <v>57</v>
      </c>
      <c r="O13" s="16" t="s">
        <v>55</v>
      </c>
      <c r="P13" s="16" t="s">
        <v>47</v>
      </c>
      <c r="Q13" s="16" t="s">
        <v>48</v>
      </c>
    </row>
    <row r="17" spans="2:5" ht="18" thickBot="1" x14ac:dyDescent="0.35">
      <c r="B17" s="30" t="s">
        <v>49</v>
      </c>
      <c r="C17" s="30"/>
      <c r="D17" s="30"/>
      <c r="E17" s="30"/>
    </row>
    <row r="18" spans="2:5" ht="15.75" customHeight="1" thickTop="1" x14ac:dyDescent="0.25">
      <c r="B18" s="31" t="s">
        <v>50</v>
      </c>
      <c r="C18" s="31"/>
      <c r="D18" s="31"/>
      <c r="E18" s="31"/>
    </row>
    <row r="19" spans="2:5" x14ac:dyDescent="0.25">
      <c r="B19" s="25"/>
      <c r="C19" s="25"/>
      <c r="D19" s="25"/>
      <c r="E19" s="25"/>
    </row>
    <row r="20" spans="2:5" x14ac:dyDescent="0.25">
      <c r="B20" s="25"/>
      <c r="C20" s="25"/>
      <c r="D20" s="25"/>
      <c r="E20" s="25"/>
    </row>
  </sheetData>
  <mergeCells count="6">
    <mergeCell ref="B18:E20"/>
    <mergeCell ref="B4:E4"/>
    <mergeCell ref="B5:E5"/>
    <mergeCell ref="B6:E7"/>
    <mergeCell ref="B8:E8"/>
    <mergeCell ref="B17:E17"/>
  </mergeCells>
  <conditionalFormatting sqref="B2">
    <cfRule type="cellIs" dxfId="1" priority="1" operator="lessThan">
      <formula>30</formula>
    </cfRule>
    <cfRule type="cellIs" dxfId="0" priority="2" operator="greaterThan">
      <formula>30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Herzberg</dc:creator>
  <cp:lastModifiedBy>Anders Herzberg</cp:lastModifiedBy>
  <dcterms:created xsi:type="dcterms:W3CDTF">2025-05-22T23:21:18Z</dcterms:created>
  <dcterms:modified xsi:type="dcterms:W3CDTF">2025-05-25T04:18:56Z</dcterms:modified>
</cp:coreProperties>
</file>