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Users\Anders\Downloads\"/>
    </mc:Choice>
  </mc:AlternateContent>
  <xr:revisionPtr revIDLastSave="0" documentId="13_ncr:1_{71EADDF6-2E1B-4F0E-90A2-46941A086ABB}" xr6:coauthVersionLast="47" xr6:coauthVersionMax="47" xr10:uidLastSave="{00000000-0000-0000-0000-000000000000}"/>
  <bookViews>
    <workbookView xWindow="38280" yWindow="-120" windowWidth="38640" windowHeight="21120" xr2:uid="{3D7D806D-BC0B-47F0-8452-3BC6129C05E4}"/>
  </bookViews>
  <sheets>
    <sheet name="Custom Results" sheetId="7" r:id="rId1"/>
    <sheet name="Unified Table" sheetId="6" r:id="rId2"/>
    <sheet name=".380 ACP" sheetId="1" r:id="rId3"/>
    <sheet name="9x19mm" sheetId="2" r:id="rId4"/>
    <sheet name=".40 S&amp;W" sheetId="3" r:id="rId5"/>
    <sheet name=".357 SIG" sheetId="4" r:id="rId6"/>
    <sheet name=".45 ACP" sheetId="5"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 i="6" l="1"/>
  <c r="Q3" i="6"/>
  <c r="Q4" i="6"/>
  <c r="Q5" i="6"/>
  <c r="Q6" i="6"/>
  <c r="Q7" i="6"/>
  <c r="Q8" i="6"/>
  <c r="Q9" i="6"/>
  <c r="Q10" i="6"/>
  <c r="Q11" i="6"/>
  <c r="Q12" i="6"/>
  <c r="Q13" i="6"/>
  <c r="Q14" i="6"/>
  <c r="Q15" i="6"/>
  <c r="Q16" i="6"/>
  <c r="Q17" i="6"/>
  <c r="Q18" i="6"/>
  <c r="Q19" i="6"/>
  <c r="Q24" i="6"/>
  <c r="Q21" i="6"/>
  <c r="Q20" i="6"/>
  <c r="Q22" i="6"/>
  <c r="Q23" i="6"/>
  <c r="Q28" i="6"/>
  <c r="Q25" i="6"/>
  <c r="Q26" i="6"/>
  <c r="Q27" i="6"/>
  <c r="Q29" i="6"/>
  <c r="Q30" i="6"/>
  <c r="Q31" i="6"/>
  <c r="Q32" i="6"/>
  <c r="Q35" i="6"/>
  <c r="Q33" i="6"/>
  <c r="Q34" i="6"/>
  <c r="Q36" i="6"/>
  <c r="Q37" i="6"/>
  <c r="Q38" i="6"/>
  <c r="Q40" i="6"/>
  <c r="Q39" i="6"/>
  <c r="Q41" i="6"/>
  <c r="Q42" i="6"/>
  <c r="Q43" i="6"/>
  <c r="Q44" i="6"/>
  <c r="Q45" i="6"/>
  <c r="Q46" i="6"/>
  <c r="Q48" i="6"/>
  <c r="Q47" i="6"/>
  <c r="Q49" i="6"/>
  <c r="Q50" i="6"/>
  <c r="Q51" i="6"/>
  <c r="Q52" i="6"/>
  <c r="Q53" i="6"/>
  <c r="Q56" i="6"/>
  <c r="Q54" i="6"/>
  <c r="Q55" i="6"/>
  <c r="Q57" i="6"/>
  <c r="Q58" i="6"/>
  <c r="Q59" i="6"/>
  <c r="Q60" i="6"/>
  <c r="Q62" i="6"/>
  <c r="Q61" i="6"/>
  <c r="Q63" i="6"/>
  <c r="Q65" i="6"/>
  <c r="Q64" i="6"/>
  <c r="Q66" i="6"/>
  <c r="Q67" i="6"/>
  <c r="Q69" i="6"/>
  <c r="Q68" i="6"/>
  <c r="Q70" i="6"/>
  <c r="Q71" i="6"/>
  <c r="Q72" i="6"/>
  <c r="Q73" i="6"/>
  <c r="Q74" i="6"/>
  <c r="Q75" i="6"/>
  <c r="Q76" i="6"/>
  <c r="Q78" i="6"/>
  <c r="Q79" i="6"/>
  <c r="Q77" i="6"/>
  <c r="Q80" i="6"/>
  <c r="Q81" i="6"/>
  <c r="Q82" i="6"/>
  <c r="Q83" i="6"/>
  <c r="Q84" i="6"/>
  <c r="Q85" i="6"/>
  <c r="Q86" i="6"/>
  <c r="Q87" i="6"/>
  <c r="Q88" i="6"/>
  <c r="Q89" i="6"/>
  <c r="Q90" i="6"/>
  <c r="Q91" i="6"/>
  <c r="Q92" i="6"/>
  <c r="Q93" i="6"/>
  <c r="Q94" i="6"/>
  <c r="Q95" i="6"/>
  <c r="Q97" i="6"/>
  <c r="Q96" i="6"/>
  <c r="Q98" i="6"/>
  <c r="Q99" i="6"/>
  <c r="Q100" i="6"/>
  <c r="Q101" i="6"/>
  <c r="Q102" i="6"/>
  <c r="Q103" i="6"/>
  <c r="Q104" i="6"/>
  <c r="Q105" i="6"/>
  <c r="Q106" i="6"/>
  <c r="Q107" i="6"/>
  <c r="Q108" i="6"/>
  <c r="Q109" i="6"/>
  <c r="Q110" i="6"/>
  <c r="Q111" i="6"/>
  <c r="Q112" i="6"/>
  <c r="Q113" i="6"/>
  <c r="Q114" i="6"/>
  <c r="Q115" i="6"/>
  <c r="Q116" i="6"/>
  <c r="Q117" i="6"/>
  <c r="Q118" i="6"/>
  <c r="Q119" i="6"/>
  <c r="Q120" i="6"/>
  <c r="Q121" i="6"/>
  <c r="Q123" i="6"/>
  <c r="Q122" i="6"/>
  <c r="Q124" i="6"/>
  <c r="Q125" i="6"/>
  <c r="Q126" i="6"/>
  <c r="Q127" i="6"/>
  <c r="Q128" i="6"/>
  <c r="Q129" i="6"/>
  <c r="Q130" i="6"/>
  <c r="Q131" i="6"/>
  <c r="Q133" i="6"/>
  <c r="Q134" i="6"/>
  <c r="Q132" i="6"/>
  <c r="Q136" i="6"/>
  <c r="Q135" i="6"/>
  <c r="Q137" i="6"/>
  <c r="Q138" i="6"/>
  <c r="Q139" i="6"/>
  <c r="Q140" i="6"/>
  <c r="Q141" i="6"/>
  <c r="Q142" i="6"/>
  <c r="Q143" i="6"/>
  <c r="Q144" i="6"/>
  <c r="Q145" i="6"/>
  <c r="Q146" i="6"/>
  <c r="Q147" i="6"/>
  <c r="Q148" i="6"/>
  <c r="Q149" i="6"/>
  <c r="Q150" i="6"/>
  <c r="Q151" i="6"/>
  <c r="Q152" i="6"/>
  <c r="Q153" i="6"/>
  <c r="Q154" i="6"/>
  <c r="Q155" i="6"/>
  <c r="Q156" i="6"/>
  <c r="Q157" i="6"/>
  <c r="P2" i="7"/>
  <c r="L2" i="7"/>
  <c r="Q2" i="7" s="1"/>
  <c r="J2" i="7"/>
  <c r="G2" i="7"/>
  <c r="E2" i="7"/>
  <c r="F2" i="6"/>
  <c r="F3" i="6"/>
  <c r="F4" i="6"/>
  <c r="F5" i="6"/>
  <c r="F6" i="6"/>
  <c r="F7" i="6"/>
  <c r="F8" i="6"/>
  <c r="F9" i="6"/>
  <c r="F10" i="6"/>
  <c r="F11" i="6"/>
  <c r="F12" i="6"/>
  <c r="F13" i="6"/>
  <c r="F14" i="6"/>
  <c r="F15" i="6"/>
  <c r="F16" i="6"/>
  <c r="F17" i="6"/>
  <c r="F18" i="6"/>
  <c r="F19" i="6"/>
  <c r="F24" i="6"/>
  <c r="F21" i="6"/>
  <c r="F20" i="6"/>
  <c r="F22" i="6"/>
  <c r="F23" i="6"/>
  <c r="F28" i="6"/>
  <c r="F25" i="6"/>
  <c r="F26" i="6"/>
  <c r="F27" i="6"/>
  <c r="F29" i="6"/>
  <c r="F30" i="6"/>
  <c r="F31" i="6"/>
  <c r="F32" i="6"/>
  <c r="F35" i="6"/>
  <c r="F33" i="6"/>
  <c r="F34" i="6"/>
  <c r="F36" i="6"/>
  <c r="F37" i="6"/>
  <c r="F38" i="6"/>
  <c r="F40" i="6"/>
  <c r="F39" i="6"/>
  <c r="F41" i="6"/>
  <c r="F42" i="6"/>
  <c r="F43" i="6"/>
  <c r="F44" i="6"/>
  <c r="F45" i="6"/>
  <c r="F46" i="6"/>
  <c r="F48" i="6"/>
  <c r="F47" i="6"/>
  <c r="F49" i="6"/>
  <c r="F50" i="6"/>
  <c r="F51" i="6"/>
  <c r="F52" i="6"/>
  <c r="F53" i="6"/>
  <c r="F56" i="6"/>
  <c r="F54" i="6"/>
  <c r="F55" i="6"/>
  <c r="F57" i="6"/>
  <c r="F58" i="6"/>
  <c r="F59" i="6"/>
  <c r="F60" i="6"/>
  <c r="F62" i="6"/>
  <c r="F61" i="6"/>
  <c r="F63" i="6"/>
  <c r="F65" i="6"/>
  <c r="F64" i="6"/>
  <c r="F66" i="6"/>
  <c r="F67" i="6"/>
  <c r="F69" i="6"/>
  <c r="F68" i="6"/>
  <c r="F70" i="6"/>
  <c r="F71" i="6"/>
  <c r="F72" i="6"/>
  <c r="F73" i="6"/>
  <c r="F74" i="6"/>
  <c r="F75" i="6"/>
  <c r="F76" i="6"/>
  <c r="F78" i="6"/>
  <c r="F79" i="6"/>
  <c r="F77" i="6"/>
  <c r="F80" i="6"/>
  <c r="F81" i="6"/>
  <c r="F82" i="6"/>
  <c r="F83" i="6"/>
  <c r="F84" i="6"/>
  <c r="F85" i="6"/>
  <c r="F86" i="6"/>
  <c r="F87" i="6"/>
  <c r="F88" i="6"/>
  <c r="F89" i="6"/>
  <c r="F90" i="6"/>
  <c r="F91" i="6"/>
  <c r="F92" i="6"/>
  <c r="F93" i="6"/>
  <c r="F94" i="6"/>
  <c r="F95" i="6"/>
  <c r="F97" i="6"/>
  <c r="F96" i="6"/>
  <c r="F98" i="6"/>
  <c r="F99" i="6"/>
  <c r="F100" i="6"/>
  <c r="F101" i="6"/>
  <c r="F102" i="6"/>
  <c r="F103" i="6"/>
  <c r="F104" i="6"/>
  <c r="F105" i="6"/>
  <c r="F106" i="6"/>
  <c r="F107" i="6"/>
  <c r="F108" i="6"/>
  <c r="F109" i="6"/>
  <c r="F110" i="6"/>
  <c r="F111" i="6"/>
  <c r="F112" i="6"/>
  <c r="F113" i="6"/>
  <c r="F114" i="6"/>
  <c r="F115" i="6"/>
  <c r="F116" i="6"/>
  <c r="F117" i="6"/>
  <c r="F118" i="6"/>
  <c r="F119" i="6"/>
  <c r="F120" i="6"/>
  <c r="F121" i="6"/>
  <c r="F123" i="6"/>
  <c r="F122" i="6"/>
  <c r="F124" i="6"/>
  <c r="F125" i="6"/>
  <c r="F126" i="6"/>
  <c r="F127" i="6"/>
  <c r="F128" i="6"/>
  <c r="F129" i="6"/>
  <c r="F130" i="6"/>
  <c r="F131" i="6"/>
  <c r="F133" i="6"/>
  <c r="F134" i="6"/>
  <c r="F132" i="6"/>
  <c r="F136" i="6"/>
  <c r="F135" i="6"/>
  <c r="F137" i="6"/>
  <c r="F138" i="6"/>
  <c r="F139" i="6"/>
  <c r="F140" i="6"/>
  <c r="F141" i="6"/>
  <c r="F142" i="6"/>
  <c r="F143" i="6"/>
  <c r="F144" i="6"/>
  <c r="F145" i="6"/>
  <c r="F146" i="6"/>
  <c r="F147" i="6"/>
  <c r="F148" i="6"/>
  <c r="F149" i="6"/>
  <c r="F150" i="6"/>
  <c r="F151" i="6"/>
  <c r="F152" i="6"/>
  <c r="F153" i="6"/>
  <c r="F154" i="6"/>
  <c r="F155" i="6"/>
  <c r="F156" i="6"/>
  <c r="F157" i="6"/>
  <c r="K24" i="6"/>
  <c r="K28" i="6"/>
  <c r="K2" i="6"/>
  <c r="K3" i="6"/>
  <c r="K6" i="6"/>
  <c r="K7" i="6"/>
  <c r="K4" i="6"/>
  <c r="K5" i="6"/>
  <c r="K12" i="6"/>
  <c r="K66" i="6"/>
  <c r="K11" i="6"/>
  <c r="K8" i="6"/>
  <c r="K19" i="6"/>
  <c r="K9" i="6"/>
  <c r="K15" i="6"/>
  <c r="K14" i="6"/>
  <c r="K13" i="6"/>
  <c r="K23" i="6"/>
  <c r="K10" i="6"/>
  <c r="K18" i="6"/>
  <c r="K37" i="6"/>
  <c r="K71" i="6"/>
  <c r="K22" i="6"/>
  <c r="K16" i="6"/>
  <c r="K17" i="6"/>
  <c r="K75" i="6"/>
  <c r="K42" i="6"/>
  <c r="K20" i="6"/>
  <c r="K36" i="6"/>
  <c r="K35" i="6"/>
  <c r="K29" i="6"/>
  <c r="K34" i="6"/>
  <c r="K38" i="6"/>
  <c r="K78" i="6"/>
  <c r="K40" i="6"/>
  <c r="K26" i="6"/>
  <c r="K25" i="6"/>
  <c r="K27" i="6"/>
  <c r="K21" i="6"/>
  <c r="K31" i="6"/>
  <c r="K74" i="6"/>
  <c r="K39" i="6"/>
  <c r="K56" i="6"/>
  <c r="K30" i="6"/>
  <c r="K43" i="6"/>
  <c r="K33" i="6"/>
  <c r="K58" i="6"/>
  <c r="K60" i="6"/>
  <c r="K46" i="6"/>
  <c r="K41" i="6"/>
  <c r="K32" i="6"/>
  <c r="K63" i="6"/>
  <c r="K48" i="6"/>
  <c r="K44" i="6"/>
  <c r="K83" i="6"/>
  <c r="K80" i="6"/>
  <c r="K79" i="6"/>
  <c r="K49" i="6"/>
  <c r="K67" i="6"/>
  <c r="K45" i="6"/>
  <c r="K51" i="6"/>
  <c r="K52" i="6"/>
  <c r="K47" i="6"/>
  <c r="K81" i="6"/>
  <c r="K53" i="6"/>
  <c r="K54" i="6"/>
  <c r="K85" i="6"/>
  <c r="K82" i="6"/>
  <c r="K50" i="6"/>
  <c r="K69" i="6"/>
  <c r="K84" i="6"/>
  <c r="K55" i="6"/>
  <c r="K57" i="6"/>
  <c r="K70" i="6"/>
  <c r="K65" i="6"/>
  <c r="K59" i="6"/>
  <c r="K62" i="6"/>
  <c r="K61" i="6"/>
  <c r="K87" i="6"/>
  <c r="K64" i="6"/>
  <c r="K72" i="6"/>
  <c r="K91" i="6"/>
  <c r="K86" i="6"/>
  <c r="K68" i="6"/>
  <c r="K89" i="6"/>
  <c r="K88" i="6"/>
  <c r="K73" i="6"/>
  <c r="K90" i="6"/>
  <c r="K92" i="6"/>
  <c r="K76" i="6"/>
  <c r="K77" i="6"/>
  <c r="K93" i="6"/>
  <c r="K94" i="6"/>
  <c r="K97" i="6"/>
  <c r="K95" i="6"/>
  <c r="K100" i="6"/>
  <c r="K99" i="6"/>
  <c r="K96" i="6"/>
  <c r="K98" i="6"/>
  <c r="K102" i="6"/>
  <c r="K110" i="6"/>
  <c r="K106" i="6"/>
  <c r="K103" i="6"/>
  <c r="K101" i="6"/>
  <c r="K104" i="6"/>
  <c r="K116" i="6"/>
  <c r="K112" i="6"/>
  <c r="K108" i="6"/>
  <c r="K105" i="6"/>
  <c r="K107" i="6"/>
  <c r="K113" i="6"/>
  <c r="K114" i="6"/>
  <c r="K115" i="6"/>
  <c r="K118" i="6"/>
  <c r="K109" i="6"/>
  <c r="K119" i="6"/>
  <c r="K111" i="6"/>
  <c r="K139" i="6"/>
  <c r="K117" i="6"/>
  <c r="K132" i="6"/>
  <c r="K144" i="6"/>
  <c r="K121" i="6"/>
  <c r="K122" i="6"/>
  <c r="K143" i="6"/>
  <c r="K120" i="6"/>
  <c r="K126" i="6"/>
  <c r="K124" i="6"/>
  <c r="K125" i="6"/>
  <c r="K123" i="6"/>
  <c r="K127" i="6"/>
  <c r="K136" i="6"/>
  <c r="K128" i="6"/>
  <c r="K129" i="6"/>
  <c r="K131" i="6"/>
  <c r="K130" i="6"/>
  <c r="K133" i="6"/>
  <c r="K140" i="6"/>
  <c r="K134" i="6"/>
  <c r="K145" i="6"/>
  <c r="K137" i="6"/>
  <c r="K141" i="6"/>
  <c r="K138" i="6"/>
  <c r="K135" i="6"/>
  <c r="K147" i="6"/>
  <c r="K142" i="6"/>
  <c r="K148" i="6"/>
  <c r="K157" i="6"/>
  <c r="K146" i="6"/>
  <c r="K149" i="6"/>
  <c r="K151" i="6"/>
  <c r="K150" i="6"/>
  <c r="K152" i="6"/>
  <c r="K154" i="6"/>
  <c r="K153" i="6"/>
  <c r="K156" i="6"/>
  <c r="K155" i="6"/>
  <c r="H111" i="6"/>
  <c r="H24" i="6"/>
  <c r="H28" i="6"/>
  <c r="H2" i="6"/>
  <c r="H3" i="6"/>
  <c r="H6" i="6"/>
  <c r="H7" i="6"/>
  <c r="H4" i="6"/>
  <c r="H5" i="6"/>
  <c r="H12" i="6"/>
  <c r="H66" i="6"/>
  <c r="H11" i="6"/>
  <c r="H8" i="6"/>
  <c r="H19" i="6"/>
  <c r="H9" i="6"/>
  <c r="H15" i="6"/>
  <c r="H14" i="6"/>
  <c r="H13" i="6"/>
  <c r="H23" i="6"/>
  <c r="H10" i="6"/>
  <c r="H18" i="6"/>
  <c r="H37" i="6"/>
  <c r="H71" i="6"/>
  <c r="H22" i="6"/>
  <c r="H16" i="6"/>
  <c r="H17" i="6"/>
  <c r="H75" i="6"/>
  <c r="H42" i="6"/>
  <c r="H20" i="6"/>
  <c r="H36" i="6"/>
  <c r="H35" i="6"/>
  <c r="H29" i="6"/>
  <c r="H34" i="6"/>
  <c r="H38" i="6"/>
  <c r="H78" i="6"/>
  <c r="H40" i="6"/>
  <c r="H26" i="6"/>
  <c r="H25" i="6"/>
  <c r="H27" i="6"/>
  <c r="H21" i="6"/>
  <c r="H31" i="6"/>
  <c r="H74" i="6"/>
  <c r="H39" i="6"/>
  <c r="H56" i="6"/>
  <c r="H30" i="6"/>
  <c r="H43" i="6"/>
  <c r="H33" i="6"/>
  <c r="H58" i="6"/>
  <c r="H60" i="6"/>
  <c r="H46" i="6"/>
  <c r="H41" i="6"/>
  <c r="H32" i="6"/>
  <c r="H63" i="6"/>
  <c r="H48" i="6"/>
  <c r="H44" i="6"/>
  <c r="H83" i="6"/>
  <c r="H80" i="6"/>
  <c r="H79" i="6"/>
  <c r="H49" i="6"/>
  <c r="H67" i="6"/>
  <c r="H45" i="6"/>
  <c r="H51" i="6"/>
  <c r="H52" i="6"/>
  <c r="H47" i="6"/>
  <c r="H81" i="6"/>
  <c r="H53" i="6"/>
  <c r="H54" i="6"/>
  <c r="H85" i="6"/>
  <c r="H82" i="6"/>
  <c r="H50" i="6"/>
  <c r="H69" i="6"/>
  <c r="H84" i="6"/>
  <c r="H55" i="6"/>
  <c r="H57" i="6"/>
  <c r="H70" i="6"/>
  <c r="H65" i="6"/>
  <c r="H59" i="6"/>
  <c r="H62" i="6"/>
  <c r="H61" i="6"/>
  <c r="H87" i="6"/>
  <c r="H64" i="6"/>
  <c r="H72" i="6"/>
  <c r="H91" i="6"/>
  <c r="H86" i="6"/>
  <c r="H68" i="6"/>
  <c r="H89" i="6"/>
  <c r="H88" i="6"/>
  <c r="H73" i="6"/>
  <c r="H90" i="6"/>
  <c r="H92" i="6"/>
  <c r="H76" i="6"/>
  <c r="H77" i="6"/>
  <c r="H93" i="6"/>
  <c r="H94" i="6"/>
  <c r="H97" i="6"/>
  <c r="H95" i="6"/>
  <c r="H100" i="6"/>
  <c r="H99" i="6"/>
  <c r="H96" i="6"/>
  <c r="H98" i="6"/>
  <c r="H102" i="6"/>
  <c r="H110" i="6"/>
  <c r="H106" i="6"/>
  <c r="H103" i="6"/>
  <c r="H101" i="6"/>
  <c r="H104" i="6"/>
  <c r="H116" i="6"/>
  <c r="H112" i="6"/>
  <c r="H108" i="6"/>
  <c r="H105" i="6"/>
  <c r="H107" i="6"/>
  <c r="H113" i="6"/>
  <c r="H114" i="6"/>
  <c r="H115" i="6"/>
  <c r="H118" i="6"/>
  <c r="H109" i="6"/>
  <c r="H119" i="6"/>
  <c r="H139" i="6"/>
  <c r="H117" i="6"/>
  <c r="H132" i="6"/>
  <c r="H144" i="6"/>
  <c r="H121" i="6"/>
  <c r="H122" i="6"/>
  <c r="H143" i="6"/>
  <c r="H120" i="6"/>
  <c r="H126" i="6"/>
  <c r="H124" i="6"/>
  <c r="H125" i="6"/>
  <c r="H123" i="6"/>
  <c r="H127" i="6"/>
  <c r="H136" i="6"/>
  <c r="H128" i="6"/>
  <c r="H129" i="6"/>
  <c r="H131" i="6"/>
  <c r="H130" i="6"/>
  <c r="H133" i="6"/>
  <c r="H140" i="6"/>
  <c r="H134" i="6"/>
  <c r="H145" i="6"/>
  <c r="H137" i="6"/>
  <c r="H141" i="6"/>
  <c r="H138" i="6"/>
  <c r="H135" i="6"/>
  <c r="H147" i="6"/>
  <c r="H142" i="6"/>
  <c r="H148" i="6"/>
  <c r="H157" i="6"/>
  <c r="H146" i="6"/>
  <c r="H149" i="6"/>
  <c r="H151" i="6"/>
  <c r="H150" i="6"/>
  <c r="H152" i="6"/>
  <c r="H154" i="6"/>
  <c r="H153" i="6"/>
  <c r="H156" i="6"/>
  <c r="H155" i="6"/>
  <c r="M2" i="7" l="1"/>
  <c r="B2" i="7" s="1"/>
  <c r="M129" i="6"/>
  <c r="M128" i="6"/>
  <c r="M157" i="6"/>
  <c r="M127" i="6"/>
  <c r="M126" i="6"/>
  <c r="M125" i="6"/>
  <c r="M155" i="6"/>
  <c r="M148" i="6"/>
  <c r="M153" i="6"/>
  <c r="M119" i="6"/>
  <c r="M118" i="6"/>
  <c r="M146" i="6"/>
  <c r="M115" i="6"/>
  <c r="M134" i="6"/>
  <c r="M114" i="6"/>
  <c r="M152" i="6"/>
  <c r="M147" i="6"/>
  <c r="M104" i="6"/>
  <c r="M123" i="6"/>
  <c r="M144" i="6"/>
  <c r="M133" i="6"/>
  <c r="M113" i="6"/>
  <c r="M142" i="6"/>
  <c r="M141" i="6"/>
  <c r="M112" i="6"/>
  <c r="M131" i="6"/>
  <c r="M143" i="6"/>
  <c r="M102" i="6"/>
  <c r="M156" i="6"/>
  <c r="M154" i="6"/>
  <c r="M108" i="6"/>
  <c r="M120" i="6"/>
  <c r="M130" i="6"/>
  <c r="M77" i="6"/>
  <c r="M132" i="6"/>
  <c r="M73" i="6"/>
  <c r="M107" i="6"/>
  <c r="M53" i="6"/>
  <c r="M52" i="6"/>
  <c r="M138" i="6"/>
  <c r="M47" i="6"/>
  <c r="M57" i="6"/>
  <c r="M137" i="6"/>
  <c r="M140" i="6"/>
  <c r="M100" i="6"/>
  <c r="M62" i="6"/>
  <c r="M25" i="6"/>
  <c r="M21" i="6"/>
  <c r="M109" i="6"/>
  <c r="M10" i="6"/>
  <c r="M105" i="6"/>
  <c r="M151" i="6"/>
  <c r="M149" i="6"/>
  <c r="M106" i="6"/>
  <c r="M103" i="6"/>
  <c r="M117" i="6"/>
  <c r="M150" i="6"/>
  <c r="M139" i="6"/>
  <c r="M98" i="6"/>
  <c r="M96" i="6"/>
  <c r="M49" i="6"/>
  <c r="M68" i="6"/>
  <c r="M84" i="6"/>
  <c r="M61" i="6"/>
  <c r="M64" i="6"/>
  <c r="M54" i="6"/>
  <c r="M59" i="6"/>
  <c r="M101" i="6"/>
  <c r="M76" i="6"/>
  <c r="M79" i="6"/>
  <c r="M50" i="6"/>
  <c r="M51" i="6"/>
  <c r="M122" i="6"/>
  <c r="M55" i="6"/>
  <c r="M65" i="6"/>
  <c r="M17" i="6"/>
  <c r="M145" i="6"/>
  <c r="M32" i="6"/>
  <c r="M33" i="6"/>
  <c r="M111" i="6"/>
  <c r="M30" i="6"/>
  <c r="M27" i="6"/>
  <c r="M38" i="6"/>
  <c r="M45" i="6"/>
  <c r="M22" i="6"/>
  <c r="M9" i="6"/>
  <c r="M14" i="6"/>
  <c r="M110" i="6"/>
  <c r="M136" i="6"/>
  <c r="M5" i="6"/>
  <c r="M91" i="6"/>
  <c r="M92" i="6"/>
  <c r="M87" i="6"/>
  <c r="M89" i="6"/>
  <c r="M90" i="6"/>
  <c r="M116" i="6"/>
  <c r="M124" i="6"/>
  <c r="M121" i="6"/>
  <c r="M88" i="6"/>
  <c r="M85" i="6"/>
  <c r="M135" i="6"/>
  <c r="M75" i="6"/>
  <c r="M99" i="6"/>
  <c r="M43" i="6"/>
  <c r="M34" i="6"/>
  <c r="M86" i="6"/>
  <c r="M94" i="6"/>
  <c r="M63" i="6"/>
  <c r="M78" i="6"/>
  <c r="M83" i="6"/>
  <c r="M39" i="6"/>
  <c r="M72" i="6"/>
  <c r="M67" i="6"/>
  <c r="M18" i="6"/>
  <c r="M97" i="6"/>
  <c r="M69" i="6"/>
  <c r="M70" i="6"/>
  <c r="M60" i="6"/>
  <c r="M74" i="6"/>
  <c r="M37" i="6"/>
  <c r="M42" i="6"/>
  <c r="M82" i="6"/>
  <c r="M80" i="6"/>
  <c r="M44" i="6"/>
  <c r="M20" i="6"/>
  <c r="M11" i="6"/>
  <c r="M95" i="6"/>
  <c r="M58" i="6"/>
  <c r="M66" i="6"/>
  <c r="M41" i="6"/>
  <c r="M56" i="6"/>
  <c r="M15" i="6"/>
  <c r="M81" i="6"/>
  <c r="M31" i="6"/>
  <c r="M26" i="6"/>
  <c r="M71" i="6"/>
  <c r="M48" i="6"/>
  <c r="M19" i="6"/>
  <c r="M35" i="6"/>
  <c r="M24" i="6"/>
  <c r="M28" i="6"/>
  <c r="M16" i="6"/>
  <c r="M36" i="6"/>
  <c r="M23" i="6"/>
  <c r="M46" i="6"/>
  <c r="M40" i="6"/>
  <c r="M13" i="6"/>
  <c r="M29" i="6"/>
  <c r="M12" i="6"/>
  <c r="M6" i="6"/>
  <c r="M7" i="6"/>
  <c r="M93" i="6"/>
  <c r="M4" i="6"/>
  <c r="M8" i="6"/>
  <c r="M3" i="6"/>
  <c r="M2" i="6"/>
  <c r="N126" i="6" l="1"/>
  <c r="C126" i="6" s="1"/>
  <c r="R126" i="6"/>
  <c r="N53" i="6"/>
  <c r="C53" i="6" s="1"/>
  <c r="R53" i="6"/>
  <c r="N81" i="6"/>
  <c r="C81" i="6" s="1"/>
  <c r="R81" i="6"/>
  <c r="N144" i="6"/>
  <c r="C144" i="6" s="1"/>
  <c r="R144" i="6"/>
  <c r="N105" i="6"/>
  <c r="C105" i="6" s="1"/>
  <c r="R105" i="6"/>
  <c r="N10" i="6"/>
  <c r="C10" i="6" s="1"/>
  <c r="R10" i="6"/>
  <c r="N116" i="6"/>
  <c r="C116" i="6" s="1"/>
  <c r="R116" i="6"/>
  <c r="N151" i="6"/>
  <c r="C151" i="6" s="1"/>
  <c r="R151" i="6"/>
  <c r="N134" i="6"/>
  <c r="C134" i="6" s="1"/>
  <c r="R134" i="6"/>
  <c r="N60" i="6"/>
  <c r="C60" i="6" s="1"/>
  <c r="R60" i="6"/>
  <c r="N79" i="6"/>
  <c r="C79" i="6" s="1"/>
  <c r="R79" i="6"/>
  <c r="N107" i="6"/>
  <c r="C107" i="6" s="1"/>
  <c r="R107" i="6"/>
  <c r="N29" i="6"/>
  <c r="C29" i="6" s="1"/>
  <c r="R29" i="6"/>
  <c r="N69" i="6"/>
  <c r="C69" i="6" s="1"/>
  <c r="R69" i="6"/>
  <c r="N13" i="6"/>
  <c r="C13" i="6" s="1"/>
  <c r="R13" i="6"/>
  <c r="N132" i="6"/>
  <c r="C132" i="6" s="1"/>
  <c r="R132" i="6"/>
  <c r="N104" i="6"/>
  <c r="C104" i="6" s="1"/>
  <c r="R104" i="6"/>
  <c r="N46" i="6"/>
  <c r="C46" i="6" s="1"/>
  <c r="R46" i="6"/>
  <c r="N64" i="6"/>
  <c r="C64" i="6" s="1"/>
  <c r="R64" i="6"/>
  <c r="N115" i="6"/>
  <c r="C115" i="6" s="1"/>
  <c r="R115" i="6"/>
  <c r="N106" i="6"/>
  <c r="C106" i="6" s="1"/>
  <c r="R106" i="6"/>
  <c r="N22" i="6"/>
  <c r="C22" i="6" s="1"/>
  <c r="R22" i="6"/>
  <c r="N85" i="6"/>
  <c r="C85" i="6" s="1"/>
  <c r="R85" i="6"/>
  <c r="N97" i="6"/>
  <c r="C97" i="6" s="1"/>
  <c r="R97" i="6"/>
  <c r="N41" i="6"/>
  <c r="C41" i="6" s="1"/>
  <c r="R41" i="6"/>
  <c r="N128" i="6"/>
  <c r="C128" i="6" s="1"/>
  <c r="R128" i="6"/>
  <c r="N30" i="6"/>
  <c r="C30" i="6" s="1"/>
  <c r="R30" i="6"/>
  <c r="N152" i="6"/>
  <c r="C152" i="6" s="1"/>
  <c r="R152" i="6"/>
  <c r="N146" i="6"/>
  <c r="C146" i="6" s="1"/>
  <c r="R146" i="6"/>
  <c r="N133" i="6"/>
  <c r="C133" i="6" s="1"/>
  <c r="R133" i="6"/>
  <c r="N15" i="6"/>
  <c r="C15" i="6" s="1"/>
  <c r="R15" i="6"/>
  <c r="N56" i="6"/>
  <c r="C56" i="6" s="1"/>
  <c r="R56" i="6"/>
  <c r="N98" i="6"/>
  <c r="C98" i="6" s="1"/>
  <c r="R98" i="6"/>
  <c r="N6" i="6"/>
  <c r="C6" i="6" s="1"/>
  <c r="R6" i="6"/>
  <c r="N75" i="6"/>
  <c r="C75" i="6" s="1"/>
  <c r="R75" i="6"/>
  <c r="N149" i="6"/>
  <c r="C149" i="6" s="1"/>
  <c r="R149" i="6"/>
  <c r="N45" i="6"/>
  <c r="C45" i="6" s="1"/>
  <c r="R45" i="6"/>
  <c r="N123" i="6"/>
  <c r="C123" i="6" s="1"/>
  <c r="R123" i="6"/>
  <c r="N121" i="6"/>
  <c r="C121" i="6" s="1"/>
  <c r="R121" i="6"/>
  <c r="N66" i="6"/>
  <c r="C66" i="6" s="1"/>
  <c r="R66" i="6"/>
  <c r="N147" i="6"/>
  <c r="C147" i="6" s="1"/>
  <c r="R147" i="6"/>
  <c r="N21" i="6"/>
  <c r="C21" i="6" s="1"/>
  <c r="R21" i="6"/>
  <c r="N95" i="6"/>
  <c r="C95" i="6" s="1"/>
  <c r="R95" i="6"/>
  <c r="N33" i="6"/>
  <c r="C33" i="6" s="1"/>
  <c r="R33" i="6"/>
  <c r="N25" i="6"/>
  <c r="C25" i="6" s="1"/>
  <c r="R25" i="6"/>
  <c r="N16" i="6"/>
  <c r="C16" i="6" s="1"/>
  <c r="R16" i="6"/>
  <c r="N11" i="6"/>
  <c r="C11" i="6" s="1"/>
  <c r="R11" i="6"/>
  <c r="N89" i="6"/>
  <c r="C89" i="6" s="1"/>
  <c r="R89" i="6"/>
  <c r="N62" i="6"/>
  <c r="C62" i="6" s="1"/>
  <c r="R62" i="6"/>
  <c r="N28" i="6"/>
  <c r="C28" i="6" s="1"/>
  <c r="R28" i="6"/>
  <c r="N145" i="6"/>
  <c r="C145" i="6" s="1"/>
  <c r="R145" i="6"/>
  <c r="N100" i="6"/>
  <c r="C100" i="6" s="1"/>
  <c r="R100" i="6"/>
  <c r="N24" i="6"/>
  <c r="C24" i="6" s="1"/>
  <c r="R24" i="6"/>
  <c r="N17" i="6"/>
  <c r="C17" i="6" s="1"/>
  <c r="R17" i="6"/>
  <c r="N102" i="6"/>
  <c r="C102" i="6" s="1"/>
  <c r="R102" i="6"/>
  <c r="N80" i="6"/>
  <c r="C80" i="6" s="1"/>
  <c r="R80" i="6"/>
  <c r="N137" i="6"/>
  <c r="C137" i="6" s="1"/>
  <c r="R137" i="6"/>
  <c r="N19" i="6"/>
  <c r="C19" i="6" s="1"/>
  <c r="R19" i="6"/>
  <c r="N86" i="6"/>
  <c r="C86" i="6" s="1"/>
  <c r="R86" i="6"/>
  <c r="N5" i="6"/>
  <c r="C5" i="6" s="1"/>
  <c r="R5" i="6"/>
  <c r="N55" i="6"/>
  <c r="C55" i="6" s="1"/>
  <c r="R55" i="6"/>
  <c r="N139" i="6"/>
  <c r="C139" i="6" s="1"/>
  <c r="R139" i="6"/>
  <c r="N57" i="6"/>
  <c r="C57" i="6" s="1"/>
  <c r="R57" i="6"/>
  <c r="N131" i="6"/>
  <c r="C131" i="6" s="1"/>
  <c r="R131" i="6"/>
  <c r="N119" i="6"/>
  <c r="C119" i="6" s="1"/>
  <c r="R119" i="6"/>
  <c r="N125" i="6"/>
  <c r="C125" i="6" s="1"/>
  <c r="R125" i="6"/>
  <c r="N70" i="6"/>
  <c r="C70" i="6" s="1"/>
  <c r="R70" i="6"/>
  <c r="N127" i="6"/>
  <c r="C127" i="6" s="1"/>
  <c r="R127" i="6"/>
  <c r="N38" i="6"/>
  <c r="C38" i="6" s="1"/>
  <c r="R38" i="6"/>
  <c r="N18" i="6"/>
  <c r="C18" i="6" s="1"/>
  <c r="R18" i="6"/>
  <c r="N77" i="6"/>
  <c r="C77" i="6" s="1"/>
  <c r="R77" i="6"/>
  <c r="N130" i="6"/>
  <c r="C130" i="6" s="1"/>
  <c r="R130" i="6"/>
  <c r="N58" i="6"/>
  <c r="C58" i="6" s="1"/>
  <c r="R58" i="6"/>
  <c r="N111" i="6"/>
  <c r="C111" i="6" s="1"/>
  <c r="R111" i="6"/>
  <c r="N36" i="6"/>
  <c r="C36" i="6" s="1"/>
  <c r="R36" i="6"/>
  <c r="N90" i="6"/>
  <c r="C90" i="6" s="1"/>
  <c r="R90" i="6"/>
  <c r="N84" i="6"/>
  <c r="C84" i="6" s="1"/>
  <c r="R84" i="6"/>
  <c r="N108" i="6"/>
  <c r="C108" i="6" s="1"/>
  <c r="R108" i="6"/>
  <c r="N32" i="6"/>
  <c r="C32" i="6" s="1"/>
  <c r="R32" i="6"/>
  <c r="N154" i="6"/>
  <c r="C154" i="6" s="1"/>
  <c r="R154" i="6"/>
  <c r="N78" i="6"/>
  <c r="C78" i="6" s="1"/>
  <c r="R78" i="6"/>
  <c r="N87" i="6"/>
  <c r="C87" i="6" s="1"/>
  <c r="R87" i="6"/>
  <c r="N156" i="6"/>
  <c r="C156" i="6" s="1"/>
  <c r="R156" i="6"/>
  <c r="N2" i="6"/>
  <c r="C2" i="6" s="1"/>
  <c r="R2" i="6"/>
  <c r="N63" i="6"/>
  <c r="C63" i="6" s="1"/>
  <c r="R63" i="6"/>
  <c r="N140" i="6"/>
  <c r="C140" i="6" s="1"/>
  <c r="R140" i="6"/>
  <c r="N3" i="6"/>
  <c r="C3" i="6" s="1"/>
  <c r="R3" i="6"/>
  <c r="N91" i="6"/>
  <c r="C91" i="6" s="1"/>
  <c r="R91" i="6"/>
  <c r="N118" i="6"/>
  <c r="C118" i="6" s="1"/>
  <c r="R118" i="6"/>
  <c r="N34" i="6"/>
  <c r="C34" i="6" s="1"/>
  <c r="R34" i="6"/>
  <c r="N136" i="6"/>
  <c r="C136" i="6" s="1"/>
  <c r="R136" i="6"/>
  <c r="N122" i="6"/>
  <c r="C122" i="6" s="1"/>
  <c r="R122" i="6"/>
  <c r="N150" i="6"/>
  <c r="C150" i="6" s="1"/>
  <c r="R150" i="6"/>
  <c r="N47" i="6"/>
  <c r="C47" i="6" s="1"/>
  <c r="R47" i="6"/>
  <c r="N112" i="6"/>
  <c r="C112" i="6" s="1"/>
  <c r="R112" i="6"/>
  <c r="N153" i="6"/>
  <c r="C153" i="6" s="1"/>
  <c r="R153" i="6"/>
  <c r="N113" i="6"/>
  <c r="C113" i="6" s="1"/>
  <c r="R113" i="6"/>
  <c r="N135" i="6"/>
  <c r="C135" i="6" s="1"/>
  <c r="R135" i="6"/>
  <c r="N73" i="6"/>
  <c r="C73" i="6" s="1"/>
  <c r="R73" i="6"/>
  <c r="N59" i="6"/>
  <c r="C59" i="6" s="1"/>
  <c r="R59" i="6"/>
  <c r="N40" i="6"/>
  <c r="C40" i="6" s="1"/>
  <c r="R40" i="6"/>
  <c r="N54" i="6"/>
  <c r="C54" i="6" s="1"/>
  <c r="R54" i="6"/>
  <c r="N124" i="6"/>
  <c r="C124" i="6" s="1"/>
  <c r="R124" i="6"/>
  <c r="N109" i="6"/>
  <c r="C109" i="6" s="1"/>
  <c r="R109" i="6"/>
  <c r="N72" i="6"/>
  <c r="C72" i="6" s="1"/>
  <c r="R72" i="6"/>
  <c r="N120" i="6"/>
  <c r="C120" i="6" s="1"/>
  <c r="R120" i="6"/>
  <c r="N39" i="6"/>
  <c r="C39" i="6" s="1"/>
  <c r="R39" i="6"/>
  <c r="N114" i="6"/>
  <c r="C114" i="6" s="1"/>
  <c r="R114" i="6"/>
  <c r="N83" i="6"/>
  <c r="C83" i="6" s="1"/>
  <c r="R83" i="6"/>
  <c r="N68" i="6"/>
  <c r="C68" i="6" s="1"/>
  <c r="R68" i="6"/>
  <c r="N20" i="6"/>
  <c r="C20" i="6" s="1"/>
  <c r="R20" i="6"/>
  <c r="N49" i="6"/>
  <c r="C49" i="6" s="1"/>
  <c r="R49" i="6"/>
  <c r="N44" i="6"/>
  <c r="C44" i="6" s="1"/>
  <c r="R44" i="6"/>
  <c r="N92" i="6"/>
  <c r="C92" i="6" s="1"/>
  <c r="R92" i="6"/>
  <c r="N96" i="6"/>
  <c r="C96" i="6" s="1"/>
  <c r="R96" i="6"/>
  <c r="N35" i="6"/>
  <c r="C35" i="6" s="1"/>
  <c r="R35" i="6"/>
  <c r="N94" i="6"/>
  <c r="C94" i="6" s="1"/>
  <c r="R94" i="6"/>
  <c r="N65" i="6"/>
  <c r="C65" i="6" s="1"/>
  <c r="R65" i="6"/>
  <c r="N143" i="6"/>
  <c r="C143" i="6" s="1"/>
  <c r="R143" i="6"/>
  <c r="N8" i="6"/>
  <c r="C8" i="6" s="1"/>
  <c r="R8" i="6"/>
  <c r="N82" i="6"/>
  <c r="C82" i="6" s="1"/>
  <c r="R82" i="6"/>
  <c r="N4" i="6"/>
  <c r="C4" i="6" s="1"/>
  <c r="R4" i="6"/>
  <c r="N48" i="6"/>
  <c r="C48" i="6" s="1"/>
  <c r="R48" i="6"/>
  <c r="N42" i="6"/>
  <c r="C42" i="6" s="1"/>
  <c r="R42" i="6"/>
  <c r="N93" i="6"/>
  <c r="C93" i="6" s="1"/>
  <c r="R93" i="6"/>
  <c r="N71" i="6"/>
  <c r="C71" i="6" s="1"/>
  <c r="R71" i="6"/>
  <c r="N37" i="6"/>
  <c r="C37" i="6" s="1"/>
  <c r="R37" i="6"/>
  <c r="N43" i="6"/>
  <c r="C43" i="6" s="1"/>
  <c r="R43" i="6"/>
  <c r="N110" i="6"/>
  <c r="C110" i="6" s="1"/>
  <c r="R110" i="6"/>
  <c r="N51" i="6"/>
  <c r="C51" i="6" s="1"/>
  <c r="R51" i="6"/>
  <c r="N117" i="6"/>
  <c r="C117" i="6" s="1"/>
  <c r="R117" i="6"/>
  <c r="N138" i="6"/>
  <c r="C138" i="6" s="1"/>
  <c r="R138" i="6"/>
  <c r="N141" i="6"/>
  <c r="C141" i="6" s="1"/>
  <c r="R141" i="6"/>
  <c r="N148" i="6"/>
  <c r="C148" i="6" s="1"/>
  <c r="R148" i="6"/>
  <c r="N31" i="6"/>
  <c r="C31" i="6" s="1"/>
  <c r="R31" i="6"/>
  <c r="N9" i="6"/>
  <c r="C9" i="6" s="1"/>
  <c r="R9" i="6"/>
  <c r="N12" i="6"/>
  <c r="C12" i="6" s="1"/>
  <c r="R12" i="6"/>
  <c r="N76" i="6"/>
  <c r="C76" i="6" s="1"/>
  <c r="R76" i="6"/>
  <c r="N101" i="6"/>
  <c r="C101" i="6" s="1"/>
  <c r="R101" i="6"/>
  <c r="N88" i="6"/>
  <c r="C88" i="6" s="1"/>
  <c r="R88" i="6"/>
  <c r="N157" i="6"/>
  <c r="C157" i="6" s="1"/>
  <c r="R157" i="6"/>
  <c r="N27" i="6"/>
  <c r="C27" i="6" s="1"/>
  <c r="R27" i="6"/>
  <c r="N67" i="6"/>
  <c r="C67" i="6" s="1"/>
  <c r="R67" i="6"/>
  <c r="N129" i="6"/>
  <c r="C129" i="6" s="1"/>
  <c r="R129" i="6"/>
  <c r="N23" i="6"/>
  <c r="C23" i="6" s="1"/>
  <c r="R23" i="6"/>
  <c r="N61" i="6"/>
  <c r="C61" i="6" s="1"/>
  <c r="R61" i="6"/>
  <c r="N7" i="6"/>
  <c r="C7" i="6" s="1"/>
  <c r="R7" i="6"/>
  <c r="N26" i="6"/>
  <c r="C26" i="6" s="1"/>
  <c r="R26" i="6"/>
  <c r="N74" i="6"/>
  <c r="C74" i="6" s="1"/>
  <c r="R74" i="6"/>
  <c r="N99" i="6"/>
  <c r="C99" i="6" s="1"/>
  <c r="R99" i="6"/>
  <c r="N14" i="6"/>
  <c r="C14" i="6" s="1"/>
  <c r="R14" i="6"/>
  <c r="N50" i="6"/>
  <c r="C50" i="6" s="1"/>
  <c r="R50" i="6"/>
  <c r="N103" i="6"/>
  <c r="C103" i="6" s="1"/>
  <c r="R103" i="6"/>
  <c r="N52" i="6"/>
  <c r="C52" i="6" s="1"/>
  <c r="R52" i="6"/>
  <c r="N142" i="6"/>
  <c r="C142" i="6" s="1"/>
  <c r="R142" i="6"/>
  <c r="N155" i="6"/>
  <c r="C155" i="6" s="1"/>
  <c r="R155" i="6"/>
  <c r="L3" i="5"/>
  <c r="K3" i="5"/>
  <c r="J3" i="5"/>
  <c r="I3" i="5"/>
  <c r="L3" i="4"/>
  <c r="K3" i="4"/>
  <c r="J3" i="4"/>
  <c r="I3" i="4"/>
  <c r="L3" i="3"/>
  <c r="L3" i="2"/>
  <c r="L3" i="1"/>
  <c r="K3" i="3"/>
  <c r="J3" i="3"/>
  <c r="I3" i="3"/>
  <c r="K3" i="2"/>
  <c r="J3" i="2"/>
  <c r="I3" i="2"/>
  <c r="K3" i="1"/>
  <c r="J3" i="1"/>
  <c r="I3" i="1"/>
  <c r="G36" i="5"/>
  <c r="G35" i="5"/>
  <c r="G34" i="5"/>
  <c r="G33" i="5"/>
  <c r="G32" i="5"/>
  <c r="G31" i="5"/>
  <c r="G30" i="5"/>
  <c r="G29" i="5"/>
  <c r="G28" i="5"/>
  <c r="G27" i="5"/>
  <c r="G26" i="5"/>
  <c r="G25" i="5"/>
  <c r="G24" i="5"/>
  <c r="G23" i="5"/>
  <c r="G22" i="5"/>
  <c r="G21" i="5"/>
  <c r="G20" i="5"/>
  <c r="G19" i="5"/>
  <c r="G18" i="5"/>
  <c r="G17" i="5"/>
  <c r="G16" i="5"/>
  <c r="G15" i="5"/>
  <c r="G14" i="5"/>
  <c r="G13" i="5"/>
  <c r="G12" i="5"/>
  <c r="G11" i="5"/>
  <c r="G10" i="5"/>
  <c r="G9" i="5"/>
  <c r="G8" i="5"/>
  <c r="G7" i="5"/>
  <c r="G6" i="5"/>
  <c r="G5" i="5"/>
  <c r="G4" i="5"/>
  <c r="G3" i="5"/>
  <c r="G2" i="5"/>
  <c r="G10" i="4"/>
  <c r="G9" i="4"/>
  <c r="G8" i="4"/>
  <c r="G7" i="4"/>
  <c r="G6" i="4"/>
  <c r="G5" i="4"/>
  <c r="G4" i="4"/>
  <c r="G3" i="4"/>
  <c r="G2" i="4"/>
  <c r="G41" i="3"/>
  <c r="G40" i="3"/>
  <c r="G39" i="3"/>
  <c r="G38" i="3"/>
  <c r="G37" i="3"/>
  <c r="G36" i="3"/>
  <c r="G35" i="3"/>
  <c r="G34" i="3"/>
  <c r="G33" i="3"/>
  <c r="G32" i="3"/>
  <c r="G31" i="3"/>
  <c r="G30" i="3"/>
  <c r="G29" i="3"/>
  <c r="G28" i="3"/>
  <c r="G27" i="3"/>
  <c r="G26" i="3"/>
  <c r="G25" i="3"/>
  <c r="G24" i="3"/>
  <c r="G23" i="3"/>
  <c r="G22" i="3"/>
  <c r="G21" i="3"/>
  <c r="G20" i="3"/>
  <c r="G19" i="3"/>
  <c r="G18" i="3"/>
  <c r="G17" i="3"/>
  <c r="G16" i="3"/>
  <c r="G15" i="3"/>
  <c r="G14" i="3"/>
  <c r="G13" i="3"/>
  <c r="G12" i="3"/>
  <c r="G11" i="3"/>
  <c r="G10" i="3"/>
  <c r="G9" i="3"/>
  <c r="G8" i="3"/>
  <c r="G7" i="3"/>
  <c r="G6" i="3"/>
  <c r="G5" i="3"/>
  <c r="G4" i="3"/>
  <c r="G3" i="3"/>
  <c r="G2" i="3"/>
  <c r="G19" i="2"/>
  <c r="G37" i="2"/>
  <c r="G5" i="2"/>
  <c r="G7" i="2"/>
  <c r="G6" i="2"/>
  <c r="G4" i="2"/>
  <c r="G12" i="2"/>
  <c r="G40" i="2"/>
  <c r="G28" i="2"/>
  <c r="G25" i="2"/>
  <c r="G36" i="2"/>
  <c r="G39" i="2"/>
  <c r="G35" i="2"/>
  <c r="G18" i="2"/>
  <c r="G10" i="2"/>
  <c r="G38" i="2"/>
  <c r="G9" i="2"/>
  <c r="G23" i="2"/>
  <c r="G33" i="2"/>
  <c r="G24" i="2"/>
  <c r="G32" i="2"/>
  <c r="G17" i="2"/>
  <c r="G31" i="2"/>
  <c r="G47" i="2"/>
  <c r="G3" i="2"/>
  <c r="G50" i="2"/>
  <c r="G2" i="2"/>
  <c r="G8" i="2"/>
  <c r="G42" i="2"/>
  <c r="G52" i="2"/>
  <c r="G13" i="2"/>
  <c r="G16" i="2"/>
  <c r="G27" i="2"/>
  <c r="G11" i="2"/>
  <c r="G15" i="2"/>
  <c r="G49" i="2"/>
  <c r="G43" i="2"/>
  <c r="G29" i="2"/>
  <c r="G34" i="2"/>
  <c r="G30" i="2"/>
  <c r="G14" i="2"/>
  <c r="G41" i="2"/>
  <c r="G45" i="2"/>
  <c r="G26" i="2"/>
  <c r="G20" i="2"/>
  <c r="G22" i="2"/>
  <c r="G21" i="2"/>
  <c r="G51" i="2"/>
  <c r="G53" i="2"/>
  <c r="G44" i="2"/>
  <c r="G46" i="2"/>
  <c r="G48" i="2"/>
  <c r="G21" i="1"/>
  <c r="G20" i="1"/>
  <c r="G19" i="1"/>
  <c r="G18" i="1"/>
  <c r="G17" i="1"/>
  <c r="G16" i="1"/>
  <c r="G15" i="1"/>
  <c r="G14" i="1"/>
  <c r="G13" i="1"/>
  <c r="G12" i="1"/>
  <c r="G11" i="1"/>
  <c r="G10" i="1"/>
  <c r="G9" i="1"/>
  <c r="G8" i="1"/>
  <c r="G7" i="1"/>
  <c r="G6" i="1"/>
  <c r="G5" i="1"/>
  <c r="G4" i="1"/>
  <c r="G3" i="1"/>
  <c r="G2" i="1"/>
</calcChain>
</file>

<file path=xl/sharedStrings.xml><?xml version="1.0" encoding="utf-8"?>
<sst xmlns="http://schemas.openxmlformats.org/spreadsheetml/2006/main" count="622" uniqueCount="238">
  <si>
    <t>Barnes 80 gr TAC-XP</t>
  </si>
  <si>
    <t>Corbon 70 gr PowRBall</t>
  </si>
  <si>
    <t>Corbon 90 gr JHP</t>
  </si>
  <si>
    <t>Federal 90 gr Hydra Shok</t>
  </si>
  <si>
    <t>Federal 99 gr HST</t>
  </si>
  <si>
    <t>G2 Research 62 gr RIP</t>
  </si>
  <si>
    <t>Hornady 90 gr FTX Critical Defense</t>
  </si>
  <si>
    <t>Hornady 90 gr XTP</t>
  </si>
  <si>
    <t>Liberty Ammunition 50 gr Civil Defense</t>
  </si>
  <si>
    <t>Magtech 85 gr Guardian Gold</t>
  </si>
  <si>
    <t>PMC 95 gr Starfire</t>
  </si>
  <si>
    <t>Remington 102 gr Golden Saber</t>
  </si>
  <si>
    <t>Remington 102 gr Ultimate Defense</t>
  </si>
  <si>
    <t>Remington 88 gr HTP</t>
  </si>
  <si>
    <t>Sig Sauer 90 gr V-Crown</t>
  </si>
  <si>
    <t>Speer 90 gr Gold Dot</t>
  </si>
  <si>
    <t>Winchester 85 gr Silver Tip Super X</t>
  </si>
  <si>
    <t>Winchester 95 gr PDX1</t>
  </si>
  <si>
    <t>Winchester 95 gr Ranger T-Series</t>
  </si>
  <si>
    <t>Winchester 95 gr Train &amp; Defend</t>
  </si>
  <si>
    <t>Ammo</t>
  </si>
  <si>
    <t>Weight (gr)</t>
  </si>
  <si>
    <t>Penetration Depth (inches)</t>
  </si>
  <si>
    <t>Expansion (inches)</t>
  </si>
  <si>
    <t>Muzzle Velocity (fps)</t>
  </si>
  <si>
    <t>Muzzle Energy (ft-lbf)</t>
  </si>
  <si>
    <t>Barnes 115 gr TAC-XPD +P</t>
  </si>
  <si>
    <t>Corbon 115 JHP +P</t>
  </si>
  <si>
    <t>Corbon 115 gr DPX</t>
  </si>
  <si>
    <t>Corbon 80 gr Glaser</t>
  </si>
  <si>
    <t>Federal 105 gr Guard Dog</t>
  </si>
  <si>
    <t>Federal 124 gr HST</t>
  </si>
  <si>
    <t>Federal 124 gr HST +P</t>
  </si>
  <si>
    <t>Federal 124 gr Hydra Shok</t>
  </si>
  <si>
    <t>Federal 135 gr Hydra Shok</t>
  </si>
  <si>
    <t>Federal 135 gr Tactical Bonded +P</t>
  </si>
  <si>
    <t>Federal 147 gr HST</t>
  </si>
  <si>
    <t>Federal 147 gr HST +P</t>
  </si>
  <si>
    <t>Federal 147 gr Hydra Shok</t>
  </si>
  <si>
    <t>Federal 150 gr Micro HST</t>
  </si>
  <si>
    <t>Fiocchi 124 gr XTP</t>
  </si>
  <si>
    <t>G2 Research 92 gr RIP</t>
  </si>
  <si>
    <t>Hornady 115 gr FTX Critical Defense</t>
  </si>
  <si>
    <t>Hornady 115 gr XTP Custom</t>
  </si>
  <si>
    <t>Hornady 124 gr XTP Custom</t>
  </si>
  <si>
    <t>Hornady 135 Critical Duty +P</t>
  </si>
  <si>
    <t>Hornady 135 gr Critical Duty</t>
  </si>
  <si>
    <t>Hornady 147 gr XTP Custom</t>
  </si>
  <si>
    <t>Liberty Ammunition 50 gr Liberty</t>
  </si>
  <si>
    <t>Magtech 115 Guardian Gold +P</t>
  </si>
  <si>
    <t>Magtech 124 Guardian Gold +P</t>
  </si>
  <si>
    <t>Magtech 124 gr Bonded JHP</t>
  </si>
  <si>
    <t>Magtech 92.6 gr SCHP First Defense</t>
  </si>
  <si>
    <t>PMC 124 gr Starfire</t>
  </si>
  <si>
    <t>PNW Arms 115 gr Tac Ops SCHP</t>
  </si>
  <si>
    <t>Prvi Partizan 147 gr JHP</t>
  </si>
  <si>
    <t>Remington 115 gr HTP</t>
  </si>
  <si>
    <t>Remington 115 gr HTP +P</t>
  </si>
  <si>
    <t>Remington 124 Golden Saber +P</t>
  </si>
  <si>
    <t>Remington 124 gr Golden Saber</t>
  </si>
  <si>
    <t>Remington 124 gr Golden Saber Black Belt +P</t>
  </si>
  <si>
    <t>Remington 124 gr Ultimate Defense</t>
  </si>
  <si>
    <t>Remington 147 gr Golden Saber</t>
  </si>
  <si>
    <t>Remington 147 gr Golden Saber Bonded</t>
  </si>
  <si>
    <t>Remington 147 gr HTP</t>
  </si>
  <si>
    <t>Sig Sauer 124 gr V-Crown</t>
  </si>
  <si>
    <t>Speer 115 gr Gold Dot</t>
  </si>
  <si>
    <t>Speer 124 Gold Dot +P</t>
  </si>
  <si>
    <t>Speer 124 Gold Dot Short Barrel +P</t>
  </si>
  <si>
    <t>Speer 124 gr Gold Dot</t>
  </si>
  <si>
    <t>Speer 147 gr Gold Dot</t>
  </si>
  <si>
    <t>Winchester 124 gr PDX1 +P</t>
  </si>
  <si>
    <t>Winchester 124 gr Ranger T-Series +P</t>
  </si>
  <si>
    <t>Winchester 127 gr Ranger T-Series +P+</t>
  </si>
  <si>
    <t>Winchester 147 gr PDX-1</t>
  </si>
  <si>
    <t>Winchester 147 gr Ranger Bonded</t>
  </si>
  <si>
    <t>Winchester 147 gr Ranger T-Series</t>
  </si>
  <si>
    <t>Winchester 147 gr Train &amp; Defend</t>
  </si>
  <si>
    <t>Barnes 140 gr Tac-XPD</t>
  </si>
  <si>
    <t>Federal 135 gr Guard Dog</t>
  </si>
  <si>
    <t>Federal 155 gr HST</t>
  </si>
  <si>
    <t>Federal 155 gr Hydra Shok</t>
  </si>
  <si>
    <t>Federal 155 gr Tactical Bonded</t>
  </si>
  <si>
    <t>Federal 165 gr Hydra Shok</t>
  </si>
  <si>
    <t>Federal 165 gr Tactical Bonded</t>
  </si>
  <si>
    <t>Federal 180 gr HST</t>
  </si>
  <si>
    <t>Federal 180 gr Hydra Shok</t>
  </si>
  <si>
    <t>Fiocchi 180 gr XTP</t>
  </si>
  <si>
    <t>Hornady 155 gr XTP Custom</t>
  </si>
  <si>
    <t>Hornady 165 gr Critical Defense</t>
  </si>
  <si>
    <t>Hornady 175 gr Critical Duty</t>
  </si>
  <si>
    <t>Hornady 180 gr XTP Custom</t>
  </si>
  <si>
    <t>Liberty Ammunition 60 gr Civil Defense</t>
  </si>
  <si>
    <t>Magtech 130 gr First Defense</t>
  </si>
  <si>
    <t>Magtech 155 gr Guardian Gold</t>
  </si>
  <si>
    <t>Magtech 180 gr Bonded</t>
  </si>
  <si>
    <t>Magtech 180 gr Guardian Gold</t>
  </si>
  <si>
    <t>PMC 180 gr Starfire</t>
  </si>
  <si>
    <t>Remington 155 gr HTP</t>
  </si>
  <si>
    <t>Remington 165 gr Golden Saber</t>
  </si>
  <si>
    <t>Remington 180 gr Golden Saber</t>
  </si>
  <si>
    <t>Remington 180 gr Golden Saber Bonded</t>
  </si>
  <si>
    <t>Remington 180 gr HTP</t>
  </si>
  <si>
    <t>Remington 180 gr Ultimate Defense</t>
  </si>
  <si>
    <t>Sig Sauer 165 gr V-Crown</t>
  </si>
  <si>
    <t>Speer 155 gr Gold Dot</t>
  </si>
  <si>
    <t>Speer 165 gr Gold Dot</t>
  </si>
  <si>
    <t>Speer 180 gr Gold Dot</t>
  </si>
  <si>
    <t>Speer 180 gr Gold Dot Short Barrel</t>
  </si>
  <si>
    <t>Winchester 165 gr PDX-1</t>
  </si>
  <si>
    <t>Winchester 165 gr Ranger Bonded</t>
  </si>
  <si>
    <t>Winchester 165 gr Ranger T-Series</t>
  </si>
  <si>
    <t>Winchester 180 gr Defender</t>
  </si>
  <si>
    <t>Winchester 180 gr Ranger</t>
  </si>
  <si>
    <t>Winchester 180 gr Ranger Bonded</t>
  </si>
  <si>
    <t>Winchester 180 gr Ranger T-Series</t>
  </si>
  <si>
    <t>Winchester 180 gr Train and Defend</t>
  </si>
  <si>
    <t>Federal 125 gr HST Tactical LE</t>
  </si>
  <si>
    <t>Federal 125 gr Premium JHP</t>
  </si>
  <si>
    <t>Hornady 147 gr Custom XTP</t>
  </si>
  <si>
    <t>Remington 125 gr UMC JHP</t>
  </si>
  <si>
    <t>Remington 125gr Golden Saber Bonded</t>
  </si>
  <si>
    <t>Sig 125 gr V-Crown</t>
  </si>
  <si>
    <t>Speer 125gr Gold Dot</t>
  </si>
  <si>
    <t>Winchester 125 gr PDX-1 Defender</t>
  </si>
  <si>
    <t>Barnes 185 gr TAC-XPD</t>
  </si>
  <si>
    <t>Federal 165 gr Guard Dog</t>
  </si>
  <si>
    <t>Federal 185 gr Hydra Shok +P</t>
  </si>
  <si>
    <t>Federal 230 gr HST</t>
  </si>
  <si>
    <t>Federal 230 gr HST +P</t>
  </si>
  <si>
    <t>Federal 230 gr Hydra Shok</t>
  </si>
  <si>
    <t>Federal 230 gr Tactical Bonded +P</t>
  </si>
  <si>
    <t>Fiocchi 230 gr XTP</t>
  </si>
  <si>
    <t>Hornady 185 gr Critical Defense</t>
  </si>
  <si>
    <t>Hornady 185 gr XTP</t>
  </si>
  <si>
    <t>Hornady 200 gr XTP</t>
  </si>
  <si>
    <t>Hornady 200 gr XTP +P</t>
  </si>
  <si>
    <t>Hornady 220 gr Critical Duty +P</t>
  </si>
  <si>
    <t>Hornady 230 gr XTP +P</t>
  </si>
  <si>
    <t>Liberty 78 gr Civil Defense +P</t>
  </si>
  <si>
    <t>Magtech 185 gr Guardian Gold +P</t>
  </si>
  <si>
    <t>Magtech 230 gr Bonded</t>
  </si>
  <si>
    <t>PMC 230 gr Starfire</t>
  </si>
  <si>
    <t>Prvi Partizan 185 gr SJHP</t>
  </si>
  <si>
    <t>Remington 185 gr Golden Saber +P</t>
  </si>
  <si>
    <t>Remington 185 gr HTP</t>
  </si>
  <si>
    <t>Remington 230 gr Golden Saber</t>
  </si>
  <si>
    <t>Remington 230 gr Golden Saber Bonded</t>
  </si>
  <si>
    <t>Remington 230 gr HTP</t>
  </si>
  <si>
    <t>Remington 230 gr Ultimate Defense</t>
  </si>
  <si>
    <t>Sig Sauer 200 gr V-Crown</t>
  </si>
  <si>
    <t>Speer 185 gr Gold Dot</t>
  </si>
  <si>
    <t>Speer 200 gr Gold Dot +P</t>
  </si>
  <si>
    <t>Speer 230 gr Gold Dot</t>
  </si>
  <si>
    <t>Speer 230 gr Gold Dot Short Barrel</t>
  </si>
  <si>
    <t>Winchester 230 gr PDX-1</t>
  </si>
  <si>
    <t>Winchester 230 gr Ranger Bonded</t>
  </si>
  <si>
    <t>Winchester 230 gr Ranger T-Series</t>
  </si>
  <si>
    <t>Winchester 230 gr Ranger T-Series +P</t>
  </si>
  <si>
    <t>Energy Per Magazine (13 Rounds)</t>
  </si>
  <si>
    <t>Energy Per Magazine (15 Rounds)</t>
  </si>
  <si>
    <t>Energy Per Magazine (17 Rounds)</t>
  </si>
  <si>
    <t>Energy Per Magazine (10 Rounds)</t>
  </si>
  <si>
    <t>Caliber</t>
  </si>
  <si>
    <t>.380 ACP</t>
  </si>
  <si>
    <t>Energy Per Magazine (Standard Capacity)</t>
  </si>
  <si>
    <t>9mm Luger</t>
  </si>
  <si>
    <t>.40 Smith &amp; Wesson</t>
  </si>
  <si>
    <t>.357 SIG</t>
  </si>
  <si>
    <t>.45 ACP</t>
  </si>
  <si>
    <t>Average Expansion</t>
  </si>
  <si>
    <t>Average Velocity</t>
  </si>
  <si>
    <t>Average Muzzle Energy</t>
  </si>
  <si>
    <t>Average Penetration</t>
  </si>
  <si>
    <t>Magazine Capacity</t>
  </si>
  <si>
    <t>How To Use This Calculator</t>
  </si>
  <si>
    <t>Data From Lucky Gunner Labs - Reproduced for research and evaluation puposes</t>
  </si>
  <si>
    <t>https://www.luckygunner.com/labs/self-defense-ammo-ballistic-tests/</t>
  </si>
  <si>
    <t>Tuning Variables</t>
  </si>
  <si>
    <t>Adjusting Tuning Variables</t>
  </si>
  <si>
    <t>Loaded Weight (gr)</t>
  </si>
  <si>
    <t>Fired Weight</t>
  </si>
  <si>
    <t>Minimum Penetration Accepted</t>
  </si>
  <si>
    <t>If You'd like to compare a specific ammunition from your own or others testing and would like to compare it using the OHREF scoring system you can enter the numbers here and have an idea of how it compares overall to other calibers. A score of 100 or higher should be acceptable and pass all standards for FBI ballistics testing with four layers of clothing.</t>
  </si>
  <si>
    <t>Bullet Diameter</t>
  </si>
  <si>
    <t>Initial Tests</t>
  </si>
  <si>
    <t>Minimum Penetration</t>
  </si>
  <si>
    <t xml:space="preserve">Maximum Penetration </t>
  </si>
  <si>
    <t>Minimum Expansion Accepted Multiplyer</t>
  </si>
  <si>
    <t>Muzzle Energy Tuning Variable</t>
  </si>
  <si>
    <t>Failure To Pass Penalty Reduce Score Multiplyer</t>
  </si>
  <si>
    <t>Penetration Depth Scaling Factors</t>
  </si>
  <si>
    <t>Ideal Expansion Diameter (1.5 Times 9mm Bullet)</t>
  </si>
  <si>
    <t>Minimum Accepted Retained Weight (%)</t>
  </si>
  <si>
    <t>Expansion - 2 Factors - Ideal and Realized</t>
  </si>
  <si>
    <t>Expansion Tuning Variable</t>
  </si>
  <si>
    <t>Ideal Capacity Tuning Variable</t>
  </si>
  <si>
    <t>Fired Weight Score</t>
  </si>
  <si>
    <t>Penetration Depth Score</t>
  </si>
  <si>
    <t>OHREF Score Total</t>
  </si>
  <si>
    <t>Expansion Score</t>
  </si>
  <si>
    <t>Magazine Capacity Score</t>
  </si>
  <si>
    <t>Muzzle Engery Score</t>
  </si>
  <si>
    <t>Weight Retention Tuning Variable</t>
  </si>
  <si>
    <t>Penetration Tuning Variable</t>
  </si>
  <si>
    <t>Max Ideal Penetration Range</t>
  </si>
  <si>
    <t>Min Ideal Penetration Range</t>
  </si>
  <si>
    <t>Penetration Top Out Range</t>
  </si>
  <si>
    <t>Min Penetration for Scoring</t>
  </si>
  <si>
    <t>Ideal Magazine Capacity</t>
  </si>
  <si>
    <t>Only Bullets that lost more than 85% of weight in testing are listed as having lost weight</t>
  </si>
  <si>
    <t xml:space="preserve">Fill out the orange highlighted cells with the weight (ideally weight after firing), penetration depth, expansion, starting diameter (easily obtainable from online sources), and magazine capacity for your firearm. </t>
  </si>
  <si>
    <t>Minimum Accepted Retained Weight (% as Decimal)</t>
  </si>
  <si>
    <t>Magazine Capacity Tuning Variable</t>
  </si>
  <si>
    <t>OHREF Standard Minimum Penetration</t>
  </si>
  <si>
    <t>FBI Ballistics Testing Minimum Penetration</t>
  </si>
  <si>
    <t>Minimum Expansion allowed in OHREF Standard</t>
  </si>
  <si>
    <t>Percent of weight retained by the round after firing allowed</t>
  </si>
  <si>
    <t>Penalty for not passing initial tests. Increase for lower penalty, decrease for higher</t>
  </si>
  <si>
    <t>Importance of muzzle energy in score</t>
  </si>
  <si>
    <t>Your Ammo</t>
  </si>
  <si>
    <t>Target minimum range for the OHREF Standard</t>
  </si>
  <si>
    <t>Maximum penetration depth for regular scoring</t>
  </si>
  <si>
    <t>Additional penetration depth allowed for a slightly better score. Anything beyond is graded at zero</t>
  </si>
  <si>
    <t>Importance of penetration in score</t>
  </si>
  <si>
    <t>Ideal expansion size for fired round</t>
  </si>
  <si>
    <t>Importance of expansion in score</t>
  </si>
  <si>
    <t>Desired minimum magazine capacity</t>
  </si>
  <si>
    <t>Importance of magazine capacity in score</t>
  </si>
  <si>
    <t>Importance of weight retention in score</t>
  </si>
  <si>
    <t>Additional Rounds</t>
  </si>
  <si>
    <t>Extra Rounds Carried Tuning Variable</t>
  </si>
  <si>
    <t>Magazine Not in Gun Penalty</t>
  </si>
  <si>
    <t>Magazine Capacity (Include Chambered Round)</t>
  </si>
  <si>
    <t xml:space="preserve">Value of rounds held in extra magazines. </t>
  </si>
  <si>
    <t>Minimum Expansion Accepted Multiplier</t>
  </si>
  <si>
    <t>Score penalty for having to relaod these extra rounds</t>
  </si>
  <si>
    <t xml:space="preserve">If you would like to adjust the tuning variables you can do so with the fields above. Please note that changing these variables may radically alter how the formula is calculated and the importance of each element.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</si>
</sst>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12" x14ac:knownFonts="1">
    <font>
      <sz val="11"/>
      <color theme="1"/>
      <name val="Aptos Narrow"/>
      <family val="2"/>
      <scheme val="minor"/>
    </font>
    <font>
      <b/>
      <sz val="11"/>
      <color theme="0"/>
      <name val="Aptos Narrow"/>
      <family val="2"/>
      <scheme val="minor"/>
    </font>
    <font>
      <sz val="11"/>
      <color theme="1"/>
      <name val="Aptos Narrow"/>
      <family val="2"/>
      <scheme val="minor"/>
    </font>
    <font>
      <b/>
      <sz val="15"/>
      <color theme="3"/>
      <name val="Aptos Narrow"/>
      <family val="2"/>
      <scheme val="minor"/>
    </font>
    <font>
      <b/>
      <sz val="13"/>
      <color theme="3"/>
      <name val="Aptos Narrow"/>
      <family val="2"/>
      <scheme val="minor"/>
    </font>
    <font>
      <sz val="11"/>
      <color rgb="FF3F3F76"/>
      <name val="Aptos Narrow"/>
      <family val="2"/>
      <scheme val="minor"/>
    </font>
    <font>
      <b/>
      <sz val="11"/>
      <color rgb="FF3F3F3F"/>
      <name val="Aptos Narrow"/>
      <family val="2"/>
      <scheme val="minor"/>
    </font>
    <font>
      <sz val="11"/>
      <color theme="0"/>
      <name val="Aptos Narrow"/>
      <family val="2"/>
      <scheme val="minor"/>
    </font>
    <font>
      <u/>
      <sz val="11"/>
      <color theme="10"/>
      <name val="Aptos Narrow"/>
      <family val="2"/>
      <scheme val="minor"/>
    </font>
    <font>
      <i/>
      <sz val="11"/>
      <color rgb="FF7F7F7F"/>
      <name val="Aptos Narrow"/>
      <family val="2"/>
      <scheme val="minor"/>
    </font>
    <font>
      <sz val="11"/>
      <color rgb="FFFF0000"/>
      <name val="Aptos Narrow"/>
      <family val="2"/>
      <scheme val="minor"/>
    </font>
    <font>
      <sz val="8"/>
      <name val="Aptos Narrow"/>
      <family val="2"/>
      <scheme val="minor"/>
    </font>
  </fonts>
  <fills count="10">
    <fill>
      <patternFill patternType="none"/>
    </fill>
    <fill>
      <patternFill patternType="gray125"/>
    </fill>
    <fill>
      <patternFill patternType="solid">
        <fgColor theme="4"/>
        <bgColor theme="4"/>
      </patternFill>
    </fill>
    <fill>
      <patternFill patternType="solid">
        <fgColor rgb="FFFFCC99"/>
      </patternFill>
    </fill>
    <fill>
      <patternFill patternType="solid">
        <fgColor rgb="FFF2F2F2"/>
      </patternFill>
    </fill>
    <fill>
      <patternFill patternType="solid">
        <fgColor theme="4"/>
      </patternFill>
    </fill>
    <fill>
      <patternFill patternType="solid">
        <fgColor theme="4" tint="0.79998168889431442"/>
        <bgColor indexed="65"/>
      </patternFill>
    </fill>
    <fill>
      <patternFill patternType="solid">
        <fgColor rgb="FFFFFF00"/>
        <bgColor indexed="64"/>
      </patternFill>
    </fill>
    <fill>
      <patternFill patternType="solid">
        <fgColor theme="0"/>
        <bgColor indexed="64"/>
      </patternFill>
    </fill>
    <fill>
      <patternFill patternType="solid">
        <fgColor theme="9" tint="0.59999389629810485"/>
        <bgColor indexed="64"/>
      </patternFill>
    </fill>
  </fills>
  <borders count="19">
    <border>
      <left/>
      <right/>
      <top/>
      <bottom/>
      <diagonal/>
    </border>
    <border>
      <left/>
      <right/>
      <top style="thin">
        <color theme="4"/>
      </top>
      <bottom/>
      <diagonal/>
    </border>
    <border>
      <left/>
      <right style="thin">
        <color theme="4"/>
      </right>
      <top style="thin">
        <color theme="4"/>
      </top>
      <bottom/>
      <diagonal/>
    </border>
    <border>
      <left/>
      <right style="thin">
        <color theme="4"/>
      </right>
      <top/>
      <bottom/>
      <diagonal/>
    </border>
    <border>
      <left/>
      <right/>
      <top/>
      <bottom style="thick">
        <color theme="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ck">
        <color theme="4"/>
      </top>
      <bottom style="medium">
        <color indexed="64"/>
      </bottom>
      <diagonal/>
    </border>
    <border>
      <left/>
      <right/>
      <top style="thick">
        <color theme="4" tint="0.499984740745262"/>
      </top>
      <bottom/>
      <diagonal/>
    </border>
    <border>
      <left/>
      <right style="thin">
        <color rgb="FF3F3F3F"/>
      </right>
      <top style="thin">
        <color rgb="FF3F3F3F"/>
      </top>
      <bottom style="thin">
        <color rgb="FF3F3F3F"/>
      </bottom>
      <diagonal/>
    </border>
  </borders>
  <cellStyleXfs count="10">
    <xf numFmtId="0" fontId="0" fillId="0" borderId="0"/>
    <xf numFmtId="0" fontId="3" fillId="0" borderId="4" applyNumberFormat="0" applyFill="0" applyAlignment="0" applyProtection="0"/>
    <xf numFmtId="0" fontId="4" fillId="0" borderId="5" applyNumberFormat="0" applyFill="0" applyAlignment="0" applyProtection="0"/>
    <xf numFmtId="0" fontId="5" fillId="3" borderId="6" applyNumberFormat="0" applyAlignment="0" applyProtection="0"/>
    <xf numFmtId="0" fontId="6" fillId="4" borderId="7" applyNumberFormat="0" applyAlignment="0" applyProtection="0"/>
    <xf numFmtId="0" fontId="7" fillId="5" borderId="0" applyNumberFormat="0" applyBorder="0" applyAlignment="0" applyProtection="0"/>
    <xf numFmtId="0" fontId="2" fillId="6" borderId="0" applyNumberFormat="0" applyBorder="0" applyAlignment="0" applyProtection="0"/>
    <xf numFmtId="0" fontId="8" fillId="0" borderId="0" applyNumberFormat="0" applyFill="0" applyBorder="0" applyAlignment="0" applyProtection="0"/>
    <xf numFmtId="9" fontId="2" fillId="0" borderId="0" applyFont="0" applyFill="0" applyBorder="0" applyAlignment="0" applyProtection="0"/>
    <xf numFmtId="0" fontId="9" fillId="0" borderId="0" applyNumberFormat="0" applyFill="0" applyBorder="0" applyAlignment="0" applyProtection="0"/>
  </cellStyleXfs>
  <cellXfs count="58">
    <xf numFmtId="0" fontId="0" fillId="0" borderId="0" xfId="0"/>
    <xf numFmtId="2" fontId="0" fillId="0" borderId="0" xfId="0" quotePrefix="1" applyNumberFormat="1"/>
    <xf numFmtId="2" fontId="0" fillId="0" borderId="0" xfId="0" applyNumberFormat="1"/>
    <xf numFmtId="164" fontId="0" fillId="0" borderId="0" xfId="0" applyNumberFormat="1"/>
    <xf numFmtId="1" fontId="0" fillId="0" borderId="0" xfId="0" applyNumberFormat="1"/>
    <xf numFmtId="0" fontId="0" fillId="0" borderId="1" xfId="0" applyBorder="1"/>
    <xf numFmtId="2" fontId="0" fillId="0" borderId="1" xfId="0" applyNumberFormat="1" applyBorder="1"/>
    <xf numFmtId="2" fontId="0" fillId="0" borderId="2" xfId="0" applyNumberFormat="1" applyBorder="1"/>
    <xf numFmtId="0" fontId="1" fillId="2" borderId="0" xfId="0" applyFont="1" applyFill="1"/>
    <xf numFmtId="0" fontId="1" fillId="2" borderId="3" xfId="0" applyFont="1" applyFill="1" applyBorder="1"/>
    <xf numFmtId="2" fontId="0" fillId="0" borderId="3" xfId="0" applyNumberFormat="1" applyBorder="1"/>
    <xf numFmtId="0" fontId="4" fillId="0" borderId="0" xfId="2" applyBorder="1"/>
    <xf numFmtId="0" fontId="0" fillId="6" borderId="9" xfId="6" applyFont="1" applyBorder="1" applyAlignment="1">
      <alignment horizontal="center" vertical="center" wrapText="1"/>
    </xf>
    <xf numFmtId="0" fontId="0" fillId="7" borderId="0" xfId="0" applyFill="1"/>
    <xf numFmtId="0" fontId="0" fillId="8" borderId="0" xfId="0" applyFill="1"/>
    <xf numFmtId="0" fontId="0" fillId="6" borderId="8" xfId="6" applyFont="1" applyBorder="1" applyAlignment="1">
      <alignment horizontal="center" vertical="center" wrapText="1"/>
    </xf>
    <xf numFmtId="0" fontId="0" fillId="0" borderId="0" xfId="0" applyAlignment="1">
      <alignment wrapText="1"/>
    </xf>
    <xf numFmtId="0" fontId="0" fillId="9" borderId="0" xfId="0" applyFill="1"/>
    <xf numFmtId="0" fontId="5" fillId="3" borderId="14" xfId="3" applyBorder="1" applyAlignment="1">
      <alignment horizontal="center" vertical="center"/>
    </xf>
    <xf numFmtId="0" fontId="7" fillId="5" borderId="0" xfId="5" applyBorder="1" applyAlignment="1">
      <alignment horizontal="center" vertical="center"/>
    </xf>
    <xf numFmtId="0" fontId="6" fillId="4" borderId="18" xfId="4" applyBorder="1" applyAlignment="1">
      <alignment horizontal="center" vertical="center"/>
    </xf>
    <xf numFmtId="1" fontId="5" fillId="3" borderId="6" xfId="3" applyNumberFormat="1" applyAlignment="1">
      <alignment horizontal="center" vertical="center"/>
    </xf>
    <xf numFmtId="165" fontId="0" fillId="0" borderId="0" xfId="0" applyNumberFormat="1"/>
    <xf numFmtId="0" fontId="10" fillId="0" borderId="0" xfId="0" applyFont="1"/>
    <xf numFmtId="165" fontId="10" fillId="0" borderId="0" xfId="0" applyNumberFormat="1" applyFont="1"/>
    <xf numFmtId="0" fontId="0" fillId="0" borderId="0" xfId="0" quotePrefix="1"/>
    <xf numFmtId="1" fontId="0" fillId="0" borderId="0" xfId="0" quotePrefix="1" applyNumberFormat="1"/>
    <xf numFmtId="165" fontId="10" fillId="0" borderId="0" xfId="0" quotePrefix="1" applyNumberFormat="1" applyFont="1"/>
    <xf numFmtId="0" fontId="0" fillId="0" borderId="0" xfId="0" applyAlignment="1">
      <alignment horizontal="center" vertical="center"/>
    </xf>
    <xf numFmtId="0" fontId="10" fillId="0" borderId="0" xfId="0" applyFont="1" applyAlignment="1">
      <alignment horizontal="center" vertical="center"/>
    </xf>
    <xf numFmtId="165" fontId="5" fillId="3" borderId="6" xfId="3" applyNumberFormat="1" applyAlignment="1">
      <alignment horizontal="center" vertical="center"/>
    </xf>
    <xf numFmtId="1" fontId="0" fillId="0" borderId="0" xfId="0" applyNumberFormat="1" applyAlignment="1">
      <alignment horizontal="center" vertical="center"/>
    </xf>
    <xf numFmtId="165" fontId="10" fillId="0" borderId="0" xfId="0" applyNumberFormat="1" applyFont="1" applyAlignment="1">
      <alignment horizontal="center" vertical="center"/>
    </xf>
    <xf numFmtId="0" fontId="5" fillId="3" borderId="13" xfId="3" applyBorder="1" applyAlignment="1">
      <alignment horizontal="center" vertical="center"/>
    </xf>
    <xf numFmtId="2" fontId="0" fillId="0" borderId="0" xfId="0" applyNumberFormat="1" applyAlignment="1">
      <alignment horizontal="center" vertical="center"/>
    </xf>
    <xf numFmtId="0" fontId="9" fillId="0" borderId="0" xfId="9" applyAlignment="1">
      <alignment horizontal="center" vertical="center" wrapText="1"/>
    </xf>
    <xf numFmtId="0" fontId="0" fillId="0" borderId="0" xfId="0" applyAlignment="1">
      <alignment horizontal="center" vertical="center" wrapText="1"/>
    </xf>
    <xf numFmtId="164" fontId="5" fillId="3" borderId="6" xfId="3" applyNumberFormat="1" applyAlignment="1">
      <alignment horizontal="center" vertical="center"/>
    </xf>
    <xf numFmtId="0" fontId="0" fillId="0" borderId="17" xfId="0" applyBorder="1" applyAlignment="1">
      <alignment horizontal="center" vertical="center" wrapText="1"/>
    </xf>
    <xf numFmtId="0" fontId="0" fillId="0" borderId="0" xfId="0"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3" fillId="0" borderId="4" xfId="1" applyAlignment="1">
      <alignment horizontal="center" vertical="center"/>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6" xfId="0" applyBorder="1" applyAlignment="1">
      <alignment horizontal="center"/>
    </xf>
    <xf numFmtId="0" fontId="4" fillId="0" borderId="5" xfId="2" applyAlignment="1">
      <alignment horizontal="center"/>
    </xf>
    <xf numFmtId="0" fontId="0" fillId="0" borderId="0" xfId="0" applyAlignment="1">
      <alignment horizontal="center"/>
    </xf>
    <xf numFmtId="0" fontId="8" fillId="0" borderId="0" xfId="7" applyAlignment="1">
      <alignment horizontal="center"/>
    </xf>
    <xf numFmtId="0" fontId="10" fillId="6" borderId="9" xfId="6" applyFont="1" applyBorder="1" applyAlignment="1">
      <alignment horizontal="center" vertical="center" wrapText="1"/>
    </xf>
    <xf numFmtId="2" fontId="10" fillId="3" borderId="14" xfId="8" applyNumberFormat="1" applyFont="1" applyFill="1" applyBorder="1" applyAlignment="1">
      <alignment horizontal="center" vertical="center"/>
    </xf>
    <xf numFmtId="0" fontId="10" fillId="6" borderId="10" xfId="6" applyFont="1" applyBorder="1" applyAlignment="1">
      <alignment horizontal="center" vertical="center" wrapText="1"/>
    </xf>
    <xf numFmtId="0" fontId="10" fillId="3" borderId="14" xfId="3" applyFont="1" applyBorder="1" applyAlignment="1">
      <alignment horizontal="center" vertical="center"/>
    </xf>
    <xf numFmtId="0" fontId="10" fillId="3" borderId="15" xfId="3" applyFont="1" applyBorder="1" applyAlignment="1">
      <alignment horizontal="center" vertical="center"/>
    </xf>
  </cellXfs>
  <cellStyles count="10">
    <cellStyle name="20% - Accent1" xfId="6" builtinId="30"/>
    <cellStyle name="Accent1" xfId="5" builtinId="29"/>
    <cellStyle name="Explanatory Text" xfId="9" builtinId="53"/>
    <cellStyle name="Heading 1" xfId="1" builtinId="16"/>
    <cellStyle name="Heading 2" xfId="2" builtinId="17"/>
    <cellStyle name="Hyperlink" xfId="7" builtinId="8"/>
    <cellStyle name="Input" xfId="3" builtinId="20"/>
    <cellStyle name="Normal" xfId="0" builtinId="0"/>
    <cellStyle name="Output" xfId="4" builtinId="21"/>
    <cellStyle name="Percent" xfId="8" builtinId="5"/>
  </cellStyles>
  <dxfs count="81">
    <dxf>
      <font>
        <strike val="0"/>
        <outline val="0"/>
        <shadow val="0"/>
        <u val="none"/>
        <vertAlign val="baseline"/>
        <sz val="11"/>
        <color rgb="FFFF0000"/>
        <name val="Aptos Narrow"/>
        <family val="2"/>
        <scheme val="minor"/>
      </font>
      <numFmt numFmtId="165" formatCode="0.000"/>
    </dxf>
    <dxf>
      <numFmt numFmtId="1" formatCode="0"/>
      <alignment horizontal="center" vertical="center" textRotation="0" wrapText="0" indent="0" justifyLastLine="0" shrinkToFit="0" readingOrder="0"/>
    </dxf>
    <dxf>
      <font>
        <b val="0"/>
      </font>
      <numFmt numFmtId="165" formatCode="0.000"/>
      <alignment horizontal="center" vertical="center" textRotation="0" wrapText="0" indent="0" justifyLastLine="0" shrinkToFit="0" readingOrder="0"/>
    </dxf>
    <dxf>
      <numFmt numFmtId="1" formatCode="0"/>
      <alignment horizontal="center" vertical="center" textRotation="0" wrapText="0" indent="0" justifyLastLine="0" shrinkToFit="0" readingOrder="0"/>
    </dxf>
    <dxf>
      <numFmt numFmtId="165" formatCode="0.000"/>
      <alignment horizontal="center" vertical="center" textRotation="0" wrapText="0" indent="0" justifyLastLine="0" shrinkToFit="0" readingOrder="0"/>
    </dxf>
    <dxf>
      <numFmt numFmtId="165" formatCode="0.000"/>
      <alignment horizontal="center" vertical="center" textRotation="0" wrapText="0" indent="0" justifyLastLine="0" shrinkToFit="0" readingOrder="0"/>
    </dxf>
    <dxf>
      <numFmt numFmtId="1" formatCode="0"/>
      <alignment horizontal="center" vertical="center" textRotation="0" wrapText="0" indent="0" justifyLastLine="0" shrinkToFit="0" readingOrder="0"/>
    </dxf>
    <dxf>
      <numFmt numFmtId="165" formatCode="0.000"/>
      <alignment horizontal="center" vertical="center" textRotation="0" wrapText="0" indent="0" justifyLastLine="0" shrinkToFit="0" readingOrder="0"/>
    </dxf>
    <dxf>
      <numFmt numFmtId="165" formatCode="0.000"/>
      <alignment horizontal="center" vertical="center" textRotation="0" wrapText="0" indent="0" justifyLastLine="0" shrinkToFit="0" readingOrder="0"/>
    </dxf>
    <dxf>
      <numFmt numFmtId="2" formatCode="0.00"/>
      <alignment horizontal="center" vertical="center" textRotation="0" wrapText="0" indent="0" justifyLastLine="0" shrinkToFit="0" readingOrder="0"/>
    </dxf>
    <dxf>
      <numFmt numFmtId="165" formatCode="0.000"/>
      <alignment horizontal="center" vertical="center" textRotation="0" wrapText="0" indent="0" justifyLastLine="0" shrinkToFit="0" readingOrder="0"/>
    </dxf>
    <dxf>
      <numFmt numFmtId="165" formatCode="0.000"/>
      <alignment horizontal="center" vertical="center" textRotation="0" wrapText="0" indent="0" justifyLastLine="0" shrinkToFit="0" readingOrder="0"/>
      <border outline="0">
        <left style="thin">
          <color rgb="FF7F7F7F"/>
        </left>
      </border>
    </dxf>
    <dxf>
      <numFmt numFmtId="164" formatCode="0.0"/>
      <alignment horizontal="center" vertical="center" textRotation="0" wrapText="0" indent="0" justifyLastLine="0" shrinkToFit="0" readingOrder="0"/>
    </dxf>
    <dxf>
      <numFmt numFmtId="165" formatCode="0.000"/>
      <alignment horizontal="center" vertical="center" textRotation="0" wrapText="0" indent="0" justifyLastLine="0" shrinkToFit="0" readingOrder="0"/>
      <border outline="0">
        <right style="thin">
          <color rgb="FF7F7F7F"/>
        </right>
      </border>
    </dxf>
    <dxf>
      <alignment horizontal="center" vertical="center" textRotation="0" wrapText="0" indent="0" justifyLastLine="0" shrinkToFit="0" readingOrder="0"/>
    </dxf>
    <dxf>
      <numFmt numFmtId="1" formatCode="0"/>
      <alignment horizontal="center" vertical="center" textRotation="0" wrapText="0" indent="0" justifyLastLine="0" shrinkToFit="0" readingOrder="0"/>
    </dxf>
    <dxf>
      <numFmt numFmtId="2" formatCode="0.00"/>
      <alignment horizontal="center" vertical="center" textRotation="0" wrapText="0" indent="0" justifyLastLine="0" shrinkToFit="0" readingOrder="0"/>
    </dxf>
    <dxf>
      <alignment horizontal="center" vertical="center"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alignment horizontal="center" vertical="center" textRotation="0" wrapText="0" indent="0" justifyLastLine="0" shrinkToFit="0" readingOrder="0"/>
    </dxf>
    <dxf>
      <alignment horizontal="center" vertical="center" textRotation="0" wrapText="0" indent="0" justifyLastLine="0" shrinkToFit="0" readingOrder="0"/>
    </dxf>
    <dxf>
      <font>
        <b/>
        <i/>
        <color rgb="FF00B050"/>
      </font>
    </dxf>
    <dxf>
      <font>
        <b/>
        <i/>
        <color rgb="FFC00000"/>
      </font>
    </dxf>
    <dxf>
      <font>
        <b/>
        <i/>
        <color rgb="FF00B050"/>
      </font>
    </dxf>
    <dxf>
      <font>
        <b/>
        <i/>
        <color rgb="FFC00000"/>
      </font>
    </dxf>
    <dxf>
      <font>
        <b/>
        <i/>
        <color rgb="FF00B050"/>
      </font>
    </dxf>
    <dxf>
      <font>
        <b/>
        <i/>
        <color rgb="FFC00000"/>
      </font>
    </dxf>
    <dxf>
      <font>
        <b/>
        <i/>
        <color rgb="FF00B050"/>
      </font>
    </dxf>
    <dxf>
      <font>
        <b/>
        <i/>
        <color rgb="FFC00000"/>
      </font>
    </dxf>
    <dxf>
      <font>
        <b/>
        <i/>
        <color rgb="FF00B050"/>
      </font>
    </dxf>
    <dxf>
      <font>
        <b/>
        <i/>
        <color rgb="FFC00000"/>
      </font>
    </dxf>
    <dxf>
      <font>
        <b/>
        <i/>
        <color rgb="FF00B050"/>
      </font>
    </dxf>
    <dxf>
      <font>
        <b/>
        <i/>
        <color rgb="FFC00000"/>
      </font>
    </dxf>
    <dxf>
      <font>
        <b/>
        <i/>
        <color rgb="FF00B050"/>
      </font>
    </dxf>
    <dxf>
      <font>
        <b/>
        <i/>
        <color rgb="FFC00000"/>
      </font>
    </dxf>
    <dxf>
      <numFmt numFmtId="1" formatCode="0"/>
    </dxf>
    <dxf>
      <font>
        <b/>
        <i/>
        <color rgb="FF00B050"/>
      </font>
    </dxf>
    <dxf>
      <font>
        <b/>
        <i/>
        <color rgb="FFC00000"/>
      </font>
    </dxf>
    <dxf>
      <font>
        <b/>
        <i/>
        <color rgb="FF00B050"/>
      </font>
    </dxf>
    <dxf>
      <font>
        <b/>
        <i/>
        <color rgb="FFC00000"/>
      </font>
    </dxf>
    <dxf>
      <numFmt numFmtId="2" formatCode="0.00"/>
    </dxf>
    <dxf>
      <numFmt numFmtId="2" formatCode="0.00"/>
    </dxf>
    <dxf>
      <font>
        <b val="0"/>
        <i val="0"/>
        <strike val="0"/>
        <condense val="0"/>
        <extend val="0"/>
        <outline val="0"/>
        <shadow val="0"/>
        <u val="none"/>
        <vertAlign val="baseline"/>
        <sz val="11"/>
        <color theme="1"/>
        <name val="Aptos Narrow"/>
        <family val="2"/>
        <scheme val="minor"/>
      </font>
      <numFmt numFmtId="2" formatCode="0.00"/>
      <border diagonalUp="0" diagonalDown="0" outline="0">
        <left/>
        <right/>
        <top style="thin">
          <color theme="4"/>
        </top>
        <bottom/>
      </border>
    </dxf>
    <dxf>
      <font>
        <b val="0"/>
        <i val="0"/>
        <strike val="0"/>
        <condense val="0"/>
        <extend val="0"/>
        <outline val="0"/>
        <shadow val="0"/>
        <u val="none"/>
        <vertAlign val="baseline"/>
        <sz val="11"/>
        <color theme="1"/>
        <name val="Aptos Narrow"/>
        <family val="2"/>
        <scheme val="minor"/>
      </font>
      <numFmt numFmtId="2" formatCode="0.00"/>
      <border diagonalUp="0" diagonalDown="0">
        <left/>
        <right style="thin">
          <color theme="4"/>
        </right>
        <top/>
        <bottom/>
        <vertical/>
        <horizontal/>
      </border>
    </dxf>
    <dxf>
      <font>
        <b val="0"/>
        <i val="0"/>
        <strike val="0"/>
        <condense val="0"/>
        <extend val="0"/>
        <outline val="0"/>
        <shadow val="0"/>
        <u val="none"/>
        <vertAlign val="baseline"/>
        <sz val="11"/>
        <color theme="1"/>
        <name val="Aptos Narrow"/>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Aptos Narrow"/>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Aptos Narrow"/>
        <family val="2"/>
        <scheme val="minor"/>
      </font>
      <border diagonalUp="0" diagonalDown="0">
        <left/>
        <right/>
        <top style="thin">
          <color theme="4"/>
        </top>
        <bottom/>
        <vertical/>
        <horizontal/>
      </border>
    </dxf>
    <dxf>
      <border outline="0">
        <left style="thin">
          <color theme="4"/>
        </left>
        <top style="thin">
          <color theme="4"/>
        </top>
        <bottom style="thin">
          <color theme="4"/>
        </bottom>
      </border>
    </dxf>
    <dxf>
      <font>
        <b/>
        <i val="0"/>
        <strike val="0"/>
        <condense val="0"/>
        <extend val="0"/>
        <outline val="0"/>
        <shadow val="0"/>
        <u val="none"/>
        <vertAlign val="baseline"/>
        <sz val="11"/>
        <color theme="0"/>
        <name val="Aptos Narrow"/>
        <family val="2"/>
        <scheme val="minor"/>
      </font>
      <fill>
        <patternFill patternType="solid">
          <fgColor theme="4"/>
          <bgColor theme="4"/>
        </patternFill>
      </fill>
    </dxf>
    <dxf>
      <numFmt numFmtId="2" formatCode="0.00"/>
    </dxf>
    <dxf>
      <numFmt numFmtId="2" formatCode="0.00"/>
    </dxf>
    <dxf>
      <font>
        <b val="0"/>
        <i val="0"/>
        <strike val="0"/>
        <condense val="0"/>
        <extend val="0"/>
        <outline val="0"/>
        <shadow val="0"/>
        <u val="none"/>
        <vertAlign val="baseline"/>
        <sz val="11"/>
        <color theme="1"/>
        <name val="Aptos Narrow"/>
        <family val="2"/>
        <scheme val="minor"/>
      </font>
      <numFmt numFmtId="2" formatCode="0.00"/>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Aptos Narrow"/>
        <family val="2"/>
        <scheme val="minor"/>
      </font>
      <numFmt numFmtId="2" formatCode="0.00"/>
      <border diagonalUp="0" diagonalDown="0">
        <left/>
        <right/>
        <top style="thin">
          <color theme="4"/>
        </top>
        <bottom/>
        <vertical/>
        <horizontal/>
      </border>
    </dxf>
    <dxf>
      <font>
        <b val="0"/>
        <i val="0"/>
        <strike val="0"/>
        <condense val="0"/>
        <extend val="0"/>
        <outline val="0"/>
        <shadow val="0"/>
        <u val="none"/>
        <vertAlign val="baseline"/>
        <sz val="11"/>
        <color theme="1"/>
        <name val="Aptos Narrow"/>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Aptos Narrow"/>
        <family val="2"/>
        <scheme val="minor"/>
      </font>
      <border diagonalUp="0" diagonalDown="0">
        <left/>
        <right/>
        <top style="thin">
          <color theme="4"/>
        </top>
        <bottom/>
        <vertical/>
        <horizontal/>
      </border>
    </dxf>
    <dxf>
      <font>
        <b val="0"/>
        <i val="0"/>
        <strike val="0"/>
        <condense val="0"/>
        <extend val="0"/>
        <outline val="0"/>
        <shadow val="0"/>
        <u val="none"/>
        <vertAlign val="baseline"/>
        <sz val="11"/>
        <color theme="1"/>
        <name val="Aptos Narrow"/>
        <family val="2"/>
        <scheme val="minor"/>
      </font>
      <border diagonalUp="0" diagonalDown="0">
        <left/>
        <right/>
        <top style="thin">
          <color theme="4"/>
        </top>
        <bottom/>
        <vertical/>
        <horizontal/>
      </border>
    </dxf>
    <dxf>
      <border outline="0">
        <left style="thin">
          <color theme="4"/>
        </left>
        <top style="thin">
          <color theme="4"/>
        </top>
        <bottom style="thin">
          <color theme="4"/>
        </bottom>
      </border>
    </dxf>
    <dxf>
      <font>
        <b/>
        <i val="0"/>
        <strike val="0"/>
        <condense val="0"/>
        <extend val="0"/>
        <outline val="0"/>
        <shadow val="0"/>
        <u val="none"/>
        <vertAlign val="baseline"/>
        <sz val="11"/>
        <color theme="0"/>
        <name val="Aptos Narrow"/>
        <family val="2"/>
        <scheme val="minor"/>
      </font>
      <fill>
        <patternFill patternType="solid">
          <fgColor theme="4"/>
          <bgColor theme="4"/>
        </patternFill>
      </fill>
    </dxf>
    <dxf>
      <numFmt numFmtId="2" formatCode="0.00"/>
    </dxf>
    <dxf>
      <numFmt numFmtId="2" formatCode="0.00"/>
    </dxf>
    <dxf>
      <numFmt numFmtId="2" formatCode="0.00"/>
    </dxf>
    <dxf>
      <numFmt numFmtId="2" formatCode="0.00"/>
    </dxf>
    <dxf>
      <numFmt numFmtId="2" formatCode="0.00"/>
    </dxf>
    <dxf>
      <numFmt numFmtId="2" formatCode="0.00"/>
    </dxf>
    <dxf>
      <numFmt numFmtId="1" formatCode="0"/>
    </dxf>
    <dxf>
      <numFmt numFmtId="2" formatCode="0.00"/>
    </dxf>
    <dxf>
      <numFmt numFmtId="164" formatCode="0.0"/>
    </dxf>
    <dxf>
      <numFmt numFmtId="1" formatCode="0"/>
    </dxf>
    <dxf>
      <numFmt numFmtId="1" formatCode="0"/>
    </dxf>
    <dxf>
      <font>
        <strike val="0"/>
        <outline val="0"/>
        <shadow val="0"/>
        <u val="none"/>
        <vertAlign val="baseline"/>
        <sz val="11"/>
        <color rgb="FFFF0000"/>
        <name val="Aptos Narrow"/>
        <family val="2"/>
        <scheme val="minor"/>
      </font>
      <numFmt numFmtId="165" formatCode="0.000"/>
    </dxf>
    <dxf>
      <numFmt numFmtId="1" formatCode="0"/>
    </dxf>
    <dxf>
      <numFmt numFmtId="1" formatCode="0"/>
    </dxf>
    <dxf>
      <font>
        <strike val="0"/>
        <outline val="0"/>
        <shadow val="0"/>
        <u val="none"/>
        <vertAlign val="baseline"/>
        <sz val="11"/>
        <color rgb="FFFF0000"/>
        <name val="Aptos Narrow"/>
        <family val="2"/>
        <scheme val="minor"/>
      </font>
      <numFmt numFmtId="165" formatCode="0.000"/>
    </dxf>
    <dxf>
      <numFmt numFmtId="165" formatCode="0.000"/>
    </dxf>
    <dxf>
      <numFmt numFmtId="165" formatCode="0.000"/>
    </dxf>
    <dxf>
      <font>
        <strike val="0"/>
        <outline val="0"/>
        <shadow val="0"/>
        <u val="none"/>
        <vertAlign val="baseline"/>
        <sz val="11"/>
        <color rgb="FFFF0000"/>
        <name val="Aptos Narrow"/>
        <family val="2"/>
        <scheme val="minor"/>
      </font>
      <numFmt numFmtId="165" formatCode="0.000"/>
    </dxf>
    <dxf>
      <numFmt numFmtId="164" formatCode="0.0"/>
    </dxf>
    <dxf>
      <font>
        <strike val="0"/>
        <outline val="0"/>
        <shadow val="0"/>
        <u val="none"/>
        <vertAlign val="baseline"/>
        <sz val="11"/>
        <color rgb="FFFF0000"/>
        <name val="Aptos Narrow"/>
        <family val="2"/>
        <scheme val="minor"/>
      </font>
      <numFmt numFmtId="165" formatCode="0.000"/>
    </dxf>
    <dxf>
      <numFmt numFmtId="1" formatCode="0"/>
    </dxf>
    <dxf>
      <numFmt numFmtId="1" formatCode="0"/>
    </dxf>
    <dxf>
      <numFmt numFmtId="2" formatCode="0.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52</xdr:row>
      <xdr:rowOff>0</xdr:rowOff>
    </xdr:from>
    <xdr:to>
      <xdr:col>1</xdr:col>
      <xdr:colOff>304800</xdr:colOff>
      <xdr:row>53</xdr:row>
      <xdr:rowOff>114300</xdr:rowOff>
    </xdr:to>
    <xdr:sp macro="" textlink="">
      <xdr:nvSpPr>
        <xdr:cNvPr id="2055" name="AutoShape 7">
          <a:extLst>
            <a:ext uri="{FF2B5EF4-FFF2-40B4-BE49-F238E27FC236}">
              <a16:creationId xmlns:a16="http://schemas.microsoft.com/office/drawing/2014/main" id="{DB09FAFF-44C0-801F-9F2C-7DB5F4EFE58D}"/>
            </a:ext>
          </a:extLst>
        </xdr:cNvPr>
        <xdr:cNvSpPr>
          <a:spLocks noChangeAspect="1" noChangeArrowheads="1"/>
        </xdr:cNvSpPr>
      </xdr:nvSpPr>
      <xdr:spPr bwMode="auto">
        <a:xfrm>
          <a:off x="2695575" y="762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8A3ED241-36FB-4C78-B78C-9215394228E5}" name="Table73" displayName="Table73" ref="A1:Q2" totalsRowShown="0" headerRowDxfId="20" dataDxfId="19" tableBorderDxfId="18" headerRowCellStyle="Accent1" dataCellStyle="Input">
  <autoFilter ref="A1:Q2" xr:uid="{8A3ED241-36FB-4C78-B78C-9215394228E5}"/>
  <tableColumns count="17">
    <tableColumn id="1" xr3:uid="{00B40069-9508-4FAE-BBE7-4B89819C421A}" name="Ammo" dataDxfId="17" dataCellStyle="Output"/>
    <tableColumn id="2" xr3:uid="{A79DA73F-68B9-4DA5-8BD4-D8A3253A2CCD}" name="OHREF Score Total" dataDxfId="16">
      <calculatedColumnFormula>(IF(AND(F2&gt;=A12,F2&lt;I12,H2&gt;=(I2*C12),D2/C2&gt;=D12),
(M2
+G2
+J2
+P2
+E2)*100,
(E12*(M2
+G2
+J2
+P2
+E2)*100)))</calculatedColumnFormula>
    </tableColumn>
    <tableColumn id="3" xr3:uid="{2EB29FCA-743E-4DA0-8F78-8106D7AF5CB8}" name="Loaded Weight (gr)" dataDxfId="15" dataCellStyle="Input">
      <calculatedColumnFormula>(IF(AND(G2&gt;=13.5,G2&lt;24,I2&gt;=(J2*1.2),E2/D2&gt;=0.85),
(N2
+H2
+K2
+Q2
+F2)*100,
(0.75*(N2
+H2
+K2
+Q2
+F2)*100)))</calculatedColumnFormula>
    </tableColumn>
    <tableColumn id="10" xr3:uid="{63601847-7E49-4606-9B6B-3BC75E523AC2}" name="Fired Weight" dataDxfId="14" dataCellStyle="Input"/>
    <tableColumn id="4" xr3:uid="{4EE1DD86-4342-4FE0-8938-55B47168F683}" name="Fired Weight Score" dataDxfId="13" dataCellStyle="Output">
      <calculatedColumnFormula>IF(D2/C2&gt;=(C2*0.85),(D2/C2)*Q12,((D2/C2)/0.85)*Q12)</calculatedColumnFormula>
    </tableColumn>
    <tableColumn id="5" xr3:uid="{0D50EFE7-7AC9-4FFA-A93C-C11F9163F206}" name="Penetration Depth (inches)" dataDxfId="12" dataCellStyle="Input"/>
    <tableColumn id="6" xr3:uid="{088E797C-7CAC-4859-9D73-10E3C04A18DC}" name="Penetration Depth Score" dataDxfId="11" dataCellStyle="Output">
      <calculatedColumnFormula>IF(F2&lt;B12,
    0,
    IF(F2&lt;=H12,
        ((F2 - G12) / (6 ^ 1.5) * 0.15 + 0.85) * J12,
        IF(F2&lt;=I12,
            (((H12 - G12) / (6 ^ 1.5) * 0.15 + 0.85) * J12) +
            ((F2 - H12) / (6 ^ 1.5) * 0.15 * 0.1) * J12,
            IF(F2&lt;=I12,
                (
                    (
                        ((H12 - G12) / (6 ^ 1.5) * 0.15 + 0.85) +
                        (5 / (6 ^ 1.5) * 0.15 * 0.1)
                    ) * J12
                ) * (1 - ((F2 - I12) / 5)),
                0
            )
        )
    )
)</calculatedColumnFormula>
    </tableColumn>
    <tableColumn id="7" xr3:uid="{005AAD19-6D0C-4080-A69E-133CBB09A4D9}" name="Expansion (inches)" dataDxfId="10" dataCellStyle="Input"/>
    <tableColumn id="8" xr3:uid="{45452FC3-CF70-47FB-B509-162AE5BAA0BD}" name="Bullet Diameter" dataDxfId="9" dataCellStyle="Input"/>
    <tableColumn id="9" xr3:uid="{1AD18319-C8A0-4D2E-9539-AE35D0D4B817}" name="Expansion Score" dataDxfId="8" dataCellStyle="Output">
      <calculatedColumnFormula>IF(H2&gt;=(I2*C12),(((((H2/K12)^2)*0.25)+(((H2/I2)^2)*0.75))*(0.25))*(L12),0)</calculatedColumnFormula>
    </tableColumn>
    <tableColumn id="11" xr3:uid="{615FD4D3-32A2-4F50-8680-C812C559AFD1}" name="Muzzle Velocity (fps)" dataDxfId="7" dataCellStyle="Input"/>
    <tableColumn id="12" xr3:uid="{C35B1290-5699-4BA2-A506-E895AEF2015B}" name="Muzzle Energy (ft-lbf)" dataDxfId="6" dataCellStyle="Output">
      <calculatedColumnFormula>(C2*(K2^2))/450437</calculatedColumnFormula>
    </tableColumn>
    <tableColumn id="14" xr3:uid="{83E8FECA-7C5F-400C-8A2D-EBCF7F01C397}" name="Muzzle Engery Score" dataDxfId="5" dataCellStyle="Output">
      <calculatedColumnFormula>(((L2/100)/2)*F12)</calculatedColumnFormula>
    </tableColumn>
    <tableColumn id="13" xr3:uid="{62A2B85B-F061-4570-96A1-00F0C77AA0A0}" name="Magazine Capacity (Include Chambered Round)" dataDxfId="4" dataCellStyle="Input"/>
    <tableColumn id="17" xr3:uid="{9EF1AEB2-3A4C-4ADD-B8A4-43DA73C359D8}" name="Additional Rounds" dataDxfId="3" dataCellStyle="Input"/>
    <tableColumn id="15" xr3:uid="{22ED0BCF-8A99-454B-A5A3-B76EF24E0EFD}" name="Magazine Capacity Score" dataDxfId="2" dataCellStyle="Output">
      <calculatedColumnFormula>((N2/M12)*P12)+(((O2*O12)*N12)/M12)*P12</calculatedColumnFormula>
    </tableColumn>
    <tableColumn id="16" xr3:uid="{8DF37670-62F1-43DF-B104-7910A9CED9DE}" name="Energy Per Magazine (Standard Capacity)" dataDxfId="1" dataCellStyle="Input">
      <calculatedColumnFormula>L2*N2</calculatedColumnFormula>
    </tableColumn>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E569BA4-3737-4BB3-8EBF-6FA40FB48628}" name="Table17" displayName="Table17" ref="A1:R157" totalsRowShown="0" dataCellStyle="Normal">
  <autoFilter ref="A1:R157" xr:uid="{6E569BA4-3737-4BB3-8EBF-6FA40FB48628}"/>
  <sortState xmlns:xlrd2="http://schemas.microsoft.com/office/spreadsheetml/2017/richdata2" ref="A2:R157">
    <sortCondition descending="1" ref="C1:C157"/>
  </sortState>
  <tableColumns count="18">
    <tableColumn id="1" xr3:uid="{16CF0D79-8D1A-41D9-BD54-33C664D6D8A4}" name="Ammo" dataCellStyle="Normal"/>
    <tableColumn id="8" xr3:uid="{BD1F23BF-1BE7-4B6A-8DEF-1E15562CBD5E}" name="Caliber" dataCellStyle="Normal"/>
    <tableColumn id="10" xr3:uid="{2E6AD111-AA3A-4235-987A-98FCA3F7F04D}" name="OHREF Score Total" dataDxfId="80" dataCellStyle="Normal">
      <calculatedColumnFormula>(IF(AND(G2&gt;=13.5,G2&lt;24,I2&gt;=(J2*1.2),E2/D2&gt;=0.85),
(N2
+H2
+K2
+Q2
+F2)*100,
(0.75*(N2
+H2
+K2
+Q2
+F2)*100)))</calculatedColumnFormula>
    </tableColumn>
    <tableColumn id="2" xr3:uid="{9428F22F-B9C3-452E-BAF2-83762F822E2B}" name="Loaded Weight (gr)" dataDxfId="79" dataCellStyle="Normal"/>
    <tableColumn id="11" xr3:uid="{1A1EE751-DF5C-497B-865F-72573BC17425}" name="Fired Weight" dataDxfId="78" dataCellStyle="Normal"/>
    <tableColumn id="16" xr3:uid="{29FF8788-D40D-4FC5-A568-A5F1D4DEDDA9}" name="Fired Weight Score" dataDxfId="77" dataCellStyle="Normal">
      <calculatedColumnFormula>IF(E2/D2&gt;=(D2*0.85),(E2/D2)*0.15,((E2/D2)/0.85)*0.15)</calculatedColumnFormula>
    </tableColumn>
    <tableColumn id="3" xr3:uid="{8190112B-D4B3-4C95-A29E-0371516291F1}" name="Penetration Depth (inches)" dataDxfId="76" dataCellStyle="Normal"/>
    <tableColumn id="17" xr3:uid="{4351CBAD-9A2E-490F-B0A5-A5C58AA65324}" name="Penetration Depth Score" dataDxfId="75" dataCellStyle="Normal">
      <calculatedColumnFormula>IF(G2&lt;12,
    0,
    IF(G2&lt;=19,
        ((G2 - 14) / (6 ^ 1.5) * 0.15 + 0.85) * 0.4,
        IF(G2&lt;=24,
            (((19 - 14) / (6 ^ 1.5) * 0.15 + 0.85) * 0.4) +
            ((G2 - 19) / (6 ^ 1.5) * 0.15 * 0.1) * 0.4,
            IF(G2&lt;=24,
                (
                    (
                        ((19 - 14) / (6 ^ 1.5) * 0.15 + 0.85) +
                        (5 / (6 ^ 1.5) * 0.15 * 0.1)
                    ) * 0.4
                ) * (1 - ((G2 - 24) / 5)),
                0
            )
        )
    )
)</calculatedColumnFormula>
    </tableColumn>
    <tableColumn id="4" xr3:uid="{8D870E3E-9846-48A1-AB39-2D9674A47467}" name="Expansion (inches)" dataDxfId="74" dataCellStyle="Normal"/>
    <tableColumn id="15" xr3:uid="{D6242CAE-1AE0-4097-A99C-6EAA0D3DA72A}" name="Bullet Diameter" dataDxfId="73" dataCellStyle="Normal"/>
    <tableColumn id="18" xr3:uid="{A0767687-93CC-4400-9C60-D7E9BB13CA47}" name="Expansion Score" dataDxfId="72" dataCellStyle="Normal">
      <calculatedColumnFormula>IF(I2&gt;=(J2*1.2),(((((I2/0.5325)^2)*0.25)+(((I2/J2)^2)*0.75))*(0.25))*(0.15),0)</calculatedColumnFormula>
    </tableColumn>
    <tableColumn id="5" xr3:uid="{36F74262-55EE-4AAB-939D-62EBC677F609}" name="Muzzle Velocity (fps)" dataDxfId="71" dataCellStyle="Normal"/>
    <tableColumn id="6" xr3:uid="{23A61CE8-B64F-473B-ADF1-ED18727F509C}" name="Muzzle Energy (ft-lbf)" dataDxfId="70" dataCellStyle="Normal"/>
    <tableColumn id="20" xr3:uid="{5B7E1348-5E3F-4F6C-AB69-5D5BE3071DDD}" name="Muzzle Engery Score" dataDxfId="69" dataCellStyle="Normal">
      <calculatedColumnFormula>(((M2/100)/2)*0.1)</calculatedColumnFormula>
    </tableColumn>
    <tableColumn id="9" xr3:uid="{167B76EE-E195-48BB-86EF-778418AD9EBB}" name="Magazine Capacity" dataDxfId="68" dataCellStyle="Normal"/>
    <tableColumn id="12" xr3:uid="{877728DB-0FC1-4BE4-9391-660728BB1DB0}" name="Additional Rounds" dataDxfId="35"/>
    <tableColumn id="19" xr3:uid="{4713A45B-E441-4DAB-AE3F-5A5D1001D113}" name="Magazine Capacity Score" dataDxfId="0" dataCellStyle="Normal">
      <calculatedColumnFormula>((O2/15)*0.4)+(((P2*0.1)*0.25)/15)*0.4</calculatedColumnFormula>
    </tableColumn>
    <tableColumn id="7" xr3:uid="{36619A2E-0C24-465E-8F20-852BC4F78702}" name="Energy Per Magazine (Standard Capacity)" dataDxfId="67" dataCellStyle="Normal">
      <calculatedColumnFormula>M2*O2</calculatedColumnFormula>
    </tableColumn>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6A8249C-86D8-4B3B-B564-2016E5EF5C54}" name="Table1" displayName="Table1" ref="A1:G21" totalsRowShown="0">
  <autoFilter ref="A1:G21" xr:uid="{06A8249C-86D8-4B3B-B564-2016E5EF5C54}"/>
  <sortState xmlns:xlrd2="http://schemas.microsoft.com/office/spreadsheetml/2017/richdata2" ref="A2:F21">
    <sortCondition ref="A1:A21"/>
  </sortState>
  <tableColumns count="7">
    <tableColumn id="1" xr3:uid="{DCBC2D9A-71C0-49BE-8347-E95B21349DF0}" name="Ammo"/>
    <tableColumn id="2" xr3:uid="{8DE1C1EB-90B9-43D1-8C09-122EE33D8E73}" name="Weight (gr)"/>
    <tableColumn id="3" xr3:uid="{64C6CAD6-3C86-4A28-866A-D62196325DC1}" name="Penetration Depth (inches)" dataDxfId="66"/>
    <tableColumn id="4" xr3:uid="{2936534D-12D3-4D19-98E5-B868E62CBB13}" name="Expansion (inches)" dataDxfId="65"/>
    <tableColumn id="5" xr3:uid="{9167AD47-A7A6-4070-BF8B-1B031FECE160}" name="Muzzle Velocity (fps)" dataDxfId="64"/>
    <tableColumn id="6" xr3:uid="{77DE6334-88EA-42C7-813F-730E3D14E689}" name="Muzzle Energy (ft-lbf)" dataDxfId="63"/>
    <tableColumn id="7" xr3:uid="{76D6F35F-40FD-4681-8058-69E419E9FEDE}" name="Energy Per Magazine (10 Rounds)" dataDxfId="62">
      <calculatedColumnFormula>10*Table1[[#This Row],[Muzzle Energy (ft-lbf)]]</calculatedColumnFormula>
    </tableColumn>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4395C65-27F8-40CE-9121-164988E72B2D}" name="Table2" displayName="Table2" ref="A1:G53" totalsRowShown="0">
  <autoFilter ref="A1:G53" xr:uid="{34395C65-27F8-40CE-9121-164988E72B2D}"/>
  <sortState xmlns:xlrd2="http://schemas.microsoft.com/office/spreadsheetml/2017/richdata2" ref="A2:G53">
    <sortCondition descending="1" ref="C1:C53"/>
  </sortState>
  <tableColumns count="7">
    <tableColumn id="1" xr3:uid="{C32B47A9-CFFB-4B07-8B61-747D2FEC49C7}" name="Ammo"/>
    <tableColumn id="2" xr3:uid="{4C2F42DE-F0C7-47D4-BAB8-0F743395B0B5}" name="Weight (gr)"/>
    <tableColumn id="3" xr3:uid="{7DEEEB5D-5BEC-4801-9533-7FE9B4B214A6}" name="Penetration Depth (inches)"/>
    <tableColumn id="4" xr3:uid="{D8A05928-7E18-49FB-904B-E020661C3177}" name="Expansion (inches)"/>
    <tableColumn id="5" xr3:uid="{A6C607F5-A6A1-454F-9DAC-3AC1896E4203}" name="Muzzle Velocity (fps)"/>
    <tableColumn id="6" xr3:uid="{FC31ADD0-4857-4845-B9E5-F1B12B4D189F}" name="Muzzle Energy (ft-lbf)" dataDxfId="61"/>
    <tableColumn id="7" xr3:uid="{C86DB34C-E616-4093-BF00-15017E4686DE}" name="Energy Per Magazine (17 Rounds)" dataDxfId="60">
      <calculatedColumnFormula>17*Table2[[#This Row],[Muzzle Energy (ft-lbf)]]</calculatedColumnFormula>
    </tableColumn>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BA7B9E0-4800-407E-8F6C-C7DB108472D2}" name="Table24" displayName="Table24" ref="A1:G41" totalsRowShown="0">
  <autoFilter ref="A1:G41" xr:uid="{7BA7B9E0-4800-407E-8F6C-C7DB108472D2}"/>
  <tableColumns count="7">
    <tableColumn id="1" xr3:uid="{B488D029-6FFE-4BC1-B7CE-FCC12F6257B0}" name="Ammo"/>
    <tableColumn id="2" xr3:uid="{F5D8114B-A1DE-4F86-8F91-25D2EE1DBFAC}" name="Weight (gr)"/>
    <tableColumn id="3" xr3:uid="{F4B97064-D46E-4B5D-B345-47760B44D7C1}" name="Penetration Depth (inches)"/>
    <tableColumn id="4" xr3:uid="{A3AF01A7-3F9D-47B6-9E43-23800C84EB85}" name="Expansion (inches)"/>
    <tableColumn id="5" xr3:uid="{753B1338-1C2B-4FE7-B205-0171E62467C1}" name="Muzzle Velocity (fps)"/>
    <tableColumn id="6" xr3:uid="{20D47736-A7DC-48DC-B68B-743F7C166809}" name="Muzzle Energy (ft-lbf)" dataDxfId="59"/>
    <tableColumn id="7" xr3:uid="{0CDAD1C1-69C0-49AB-A2AF-A86454F30D98}" name="Energy Per Magazine (15 Rounds)" dataDxfId="58">
      <calculatedColumnFormula>15*Table24[[#This Row],[Muzzle Energy (ft-lbf)]]</calculatedColumnFormula>
    </tableColumn>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6C36B1C-863B-4A1E-B121-463183737449}" name="Table4" displayName="Table4" ref="A1:G10" totalsRowShown="0" headerRowDxfId="57" tableBorderDxfId="56">
  <autoFilter ref="A1:G10" xr:uid="{B6C36B1C-863B-4A1E-B121-463183737449}"/>
  <tableColumns count="7">
    <tableColumn id="1" xr3:uid="{4AC7BC9A-8DF9-4442-BEC4-5B75B6D6BF84}" name="Ammo" dataDxfId="55"/>
    <tableColumn id="2" xr3:uid="{729D1F5A-DE1C-443D-8106-FADEFF1E09A0}" name="Weight (gr)" dataDxfId="54"/>
    <tableColumn id="3" xr3:uid="{32976557-966D-4868-AB7D-248EF73DA3DD}" name="Penetration Depth (inches)" dataDxfId="53"/>
    <tableColumn id="4" xr3:uid="{3D07076B-A364-453E-AC67-0BE7040FA990}" name="Expansion (inches)" dataDxfId="52"/>
    <tableColumn id="5" xr3:uid="{F6B01514-1C04-43EA-A566-AA8F1CE5D682}" name="Muzzle Velocity (fps)" dataDxfId="51"/>
    <tableColumn id="6" xr3:uid="{F160E04E-8CEE-4387-AFBE-9401A14367EC}" name="Muzzle Energy (ft-lbf)" dataDxfId="50"/>
    <tableColumn id="7" xr3:uid="{4BCB3094-67E6-4096-BD03-39C5B192133D}" name="Energy Per Magazine (15 Rounds)" dataDxfId="49">
      <calculatedColumnFormula>15*Table4[[#This Row],[Muzzle Energy (ft-lbf)]]</calculatedColumnFormula>
    </tableColumn>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A24F60D-03F3-4C0E-8307-1CE0DAAD8953}" name="Table46" displayName="Table46" ref="A1:G36" totalsRowShown="0" headerRowDxfId="48" tableBorderDxfId="47">
  <autoFilter ref="A1:G36" xr:uid="{DA24F60D-03F3-4C0E-8307-1CE0DAAD8953}"/>
  <tableColumns count="7">
    <tableColumn id="1" xr3:uid="{68633CD5-A40A-4B72-B138-B133A00FB7C4}" name="Ammo" dataDxfId="46"/>
    <tableColumn id="2" xr3:uid="{1512F6F5-8621-4827-93FA-55098A117F22}" name="Weight (gr)" dataDxfId="45"/>
    <tableColumn id="3" xr3:uid="{C25050FD-511E-4634-9F6A-37D908BD193D}" name="Penetration Depth (inches)" dataDxfId="44"/>
    <tableColumn id="4" xr3:uid="{3F62CBEA-C96A-4C14-8AF2-66431E298309}" name="Expansion (inches)" dataDxfId="43"/>
    <tableColumn id="5" xr3:uid="{4E3FDDDF-4314-4533-8E06-5FC695A19F74}" name="Muzzle Velocity (fps)" dataDxfId="42"/>
    <tableColumn id="6" xr3:uid="{679FB9B4-5B4B-4FA9-9C9D-C07C4381A964}" name="Muzzle Energy (ft-lbf)" dataDxfId="41"/>
    <tableColumn id="7" xr3:uid="{1AB65D66-17F9-4124-931A-1CDDC41F62B0}" name="Energy Per Magazine (13 Rounds)" dataDxfId="40">
      <calculatedColumnFormula>13*Table46[[#This Row],[Muzzle Energy (ft-lbf)]]</calculatedColumnFormula>
    </tableColumn>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2.bin"/><Relationship Id="rId1" Type="http://schemas.openxmlformats.org/officeDocument/2006/relationships/hyperlink" Target="https://www.luckygunner.com/labs/self-defense-ammo-ballistic-tests/" TargetMode="Externa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C636B-E5F4-4F54-9104-3A0F3FE09074}">
  <dimension ref="A1:Q20"/>
  <sheetViews>
    <sheetView tabSelected="1" workbookViewId="0">
      <selection activeCell="K3" sqref="K3"/>
    </sheetView>
  </sheetViews>
  <sheetFormatPr defaultRowHeight="15" x14ac:dyDescent="0.25"/>
  <cols>
    <col min="1" max="1" width="31.140625" bestFit="1" customWidth="1"/>
    <col min="2" max="2" width="33" customWidth="1"/>
    <col min="3" max="4" width="22.42578125" customWidth="1"/>
    <col min="5" max="5" width="26.5703125" customWidth="1"/>
    <col min="6" max="6" width="29.140625" customWidth="1"/>
    <col min="7" max="7" width="25.5703125" customWidth="1"/>
    <col min="8" max="8" width="23.5703125" customWidth="1"/>
    <col min="9" max="9" width="26.42578125" bestFit="1" customWidth="1"/>
    <col min="10" max="10" width="37.5703125" bestFit="1" customWidth="1"/>
    <col min="11" max="11" width="36.140625" customWidth="1"/>
    <col min="12" max="13" width="27.42578125" customWidth="1"/>
    <col min="14" max="15" width="31.7109375" customWidth="1"/>
    <col min="16" max="16" width="30" customWidth="1"/>
    <col min="17" max="17" width="42.42578125" customWidth="1"/>
    <col min="18" max="18" width="23.140625" customWidth="1"/>
  </cols>
  <sheetData>
    <row r="1" spans="1:17" ht="47.25" customHeight="1" x14ac:dyDescent="0.25">
      <c r="A1" s="19" t="s">
        <v>20</v>
      </c>
      <c r="B1" s="28" t="s">
        <v>199</v>
      </c>
      <c r="C1" s="28" t="s">
        <v>180</v>
      </c>
      <c r="D1" s="28" t="s">
        <v>181</v>
      </c>
      <c r="E1" s="29" t="s">
        <v>197</v>
      </c>
      <c r="F1" s="28" t="s">
        <v>22</v>
      </c>
      <c r="G1" s="29" t="s">
        <v>198</v>
      </c>
      <c r="H1" s="28" t="s">
        <v>23</v>
      </c>
      <c r="I1" s="28" t="s">
        <v>184</v>
      </c>
      <c r="J1" s="29" t="s">
        <v>200</v>
      </c>
      <c r="K1" s="28" t="s">
        <v>24</v>
      </c>
      <c r="L1" s="28" t="s">
        <v>25</v>
      </c>
      <c r="M1" s="29" t="s">
        <v>202</v>
      </c>
      <c r="N1" s="36" t="s">
        <v>233</v>
      </c>
      <c r="O1" s="28" t="s">
        <v>230</v>
      </c>
      <c r="P1" s="29" t="s">
        <v>201</v>
      </c>
      <c r="Q1" s="28" t="s">
        <v>165</v>
      </c>
    </row>
    <row r="2" spans="1:17" ht="45.75" customHeight="1" x14ac:dyDescent="0.25">
      <c r="A2" s="20" t="s">
        <v>220</v>
      </c>
      <c r="B2" s="34">
        <f>(IF(AND(F2&gt;=A12,F2&lt;I12,H2&gt;=(I2*C12),D2/C2&gt;=D12),
(M2
+G2
+J2
+P2
+E2)*100,
(E12*(M2
+G2
+J2
+P2
+E2)*100)))</f>
        <v>134.59319836464573</v>
      </c>
      <c r="C2" s="21">
        <v>125</v>
      </c>
      <c r="D2" s="21">
        <v>125</v>
      </c>
      <c r="E2" s="32">
        <f>IF(D2/C2&gt;=(C2*0.85),(D2/C2)*Q12,((D2/C2)/0.85)*Q12)</f>
        <v>0.17647058823529413</v>
      </c>
      <c r="F2" s="37">
        <v>18</v>
      </c>
      <c r="G2" s="32">
        <f>IF(F2&lt;B12,
    0,
    IF(F2&lt;=H12,
        ((F2 - G12) / (6 ^ 1.5) * 0.15 + 0.85) * J12,
        IF(F2&lt;=I12,
            (((H12 - G12) / (6 ^ 1.5) * 0.15 + 0.85) * J12) +
            ((F2 - H12) / (6 ^ 1.5) * 0.15 * 0.1) * J12,
            IF(F2&lt;=I12,
                (
                    (
                        ((H12 - G12) / (6 ^ 1.5) * 0.15 + 0.85) +
                        (5 / (6 ^ 1.5) * 0.15 * 0.1)
                    ) * J12
                ) * (1 - ((F2 - I12) / 5)),
                0
            )
        )
    )
)</f>
        <v>0.35632993161855453</v>
      </c>
      <c r="H2" s="30">
        <v>0.69</v>
      </c>
      <c r="I2" s="30">
        <v>0.35499999999999998</v>
      </c>
      <c r="J2" s="32">
        <f>IF(H2&gt;=(I2*C12),(((((H2/K12)^2)*0.25)+(((H2/I2)^2)*0.75))*(0.25))*(L12),0)</f>
        <v>0.12199216425312437</v>
      </c>
      <c r="K2" s="21">
        <v>1200</v>
      </c>
      <c r="L2" s="31">
        <f>(C2*(K2^2))/450437</f>
        <v>399.61193241230183</v>
      </c>
      <c r="M2" s="32">
        <f>(((L2/100)/2)*F12)</f>
        <v>0.19980596620615093</v>
      </c>
      <c r="N2" s="21">
        <v>18</v>
      </c>
      <c r="O2" s="21">
        <v>17</v>
      </c>
      <c r="P2" s="32">
        <f>((N2/M12)*P12)+(((O2*O12)*N12)/M12)*P12</f>
        <v>0.49133333333333329</v>
      </c>
      <c r="Q2" s="31">
        <f t="shared" ref="Q2" si="0">L2*N2</f>
        <v>7193.0147834214331</v>
      </c>
    </row>
    <row r="4" spans="1:17" ht="20.25" thickBot="1" x14ac:dyDescent="0.3">
      <c r="B4" s="43" t="s">
        <v>175</v>
      </c>
      <c r="C4" s="43"/>
      <c r="D4" s="43"/>
      <c r="E4" s="43"/>
    </row>
    <row r="5" spans="1:17" ht="16.5" thickTop="1" thickBot="1" x14ac:dyDescent="0.3">
      <c r="B5" s="49"/>
      <c r="C5" s="49"/>
      <c r="D5" s="49"/>
      <c r="E5" s="49"/>
    </row>
    <row r="6" spans="1:17" ht="72.75" customHeight="1" x14ac:dyDescent="0.25">
      <c r="B6" s="44" t="s">
        <v>183</v>
      </c>
      <c r="C6" s="45"/>
      <c r="D6" s="45"/>
      <c r="E6" s="46"/>
    </row>
    <row r="7" spans="1:17" x14ac:dyDescent="0.25">
      <c r="B7" s="47"/>
      <c r="C7" s="39"/>
      <c r="D7" s="39"/>
      <c r="E7" s="48"/>
    </row>
    <row r="8" spans="1:17" ht="61.5" customHeight="1" thickBot="1" x14ac:dyDescent="0.3">
      <c r="B8" s="40" t="s">
        <v>211</v>
      </c>
      <c r="C8" s="41"/>
      <c r="D8" s="41"/>
      <c r="E8" s="42"/>
    </row>
    <row r="10" spans="1:17" ht="18" thickBot="1" x14ac:dyDescent="0.35">
      <c r="A10" s="11" t="s">
        <v>178</v>
      </c>
    </row>
    <row r="11" spans="1:17" s="16" customFormat="1" ht="45" x14ac:dyDescent="0.25">
      <c r="A11" s="15" t="s">
        <v>182</v>
      </c>
      <c r="B11" s="12" t="s">
        <v>186</v>
      </c>
      <c r="C11" s="12" t="s">
        <v>235</v>
      </c>
      <c r="D11" s="12" t="s">
        <v>212</v>
      </c>
      <c r="E11" s="12" t="s">
        <v>190</v>
      </c>
      <c r="F11" s="53" t="s">
        <v>189</v>
      </c>
      <c r="G11" s="12" t="s">
        <v>206</v>
      </c>
      <c r="H11" s="12" t="s">
        <v>205</v>
      </c>
      <c r="I11" s="12" t="s">
        <v>207</v>
      </c>
      <c r="J11" s="53" t="s">
        <v>204</v>
      </c>
      <c r="K11" s="12" t="s">
        <v>192</v>
      </c>
      <c r="L11" s="53" t="s">
        <v>195</v>
      </c>
      <c r="M11" s="12" t="s">
        <v>209</v>
      </c>
      <c r="N11" s="53" t="s">
        <v>232</v>
      </c>
      <c r="O11" s="53" t="s">
        <v>231</v>
      </c>
      <c r="P11" s="53" t="s">
        <v>213</v>
      </c>
      <c r="Q11" s="55" t="s">
        <v>203</v>
      </c>
    </row>
    <row r="12" spans="1:17" ht="15.75" thickBot="1" x14ac:dyDescent="0.3">
      <c r="A12" s="33">
        <v>13.5</v>
      </c>
      <c r="B12" s="18">
        <v>12</v>
      </c>
      <c r="C12" s="18">
        <v>1.2</v>
      </c>
      <c r="D12" s="18">
        <v>0.85</v>
      </c>
      <c r="E12" s="18">
        <v>0.75</v>
      </c>
      <c r="F12" s="54">
        <v>0.1</v>
      </c>
      <c r="G12" s="18">
        <v>14</v>
      </c>
      <c r="H12" s="18">
        <v>19</v>
      </c>
      <c r="I12" s="18">
        <v>24</v>
      </c>
      <c r="J12" s="56">
        <v>0.4</v>
      </c>
      <c r="K12" s="18">
        <v>0.53249999999999997</v>
      </c>
      <c r="L12" s="56">
        <v>0.15</v>
      </c>
      <c r="M12" s="18">
        <v>15</v>
      </c>
      <c r="N12" s="56">
        <v>0.25</v>
      </c>
      <c r="O12" s="56">
        <v>0.1</v>
      </c>
      <c r="P12" s="56">
        <v>0.4</v>
      </c>
      <c r="Q12" s="57">
        <v>0.15</v>
      </c>
    </row>
    <row r="13" spans="1:17" ht="60" x14ac:dyDescent="0.25">
      <c r="A13" s="35" t="s">
        <v>214</v>
      </c>
      <c r="B13" s="35" t="s">
        <v>215</v>
      </c>
      <c r="C13" s="35" t="s">
        <v>216</v>
      </c>
      <c r="D13" s="35" t="s">
        <v>217</v>
      </c>
      <c r="E13" s="35" t="s">
        <v>218</v>
      </c>
      <c r="F13" s="35" t="s">
        <v>219</v>
      </c>
      <c r="G13" s="35" t="s">
        <v>221</v>
      </c>
      <c r="H13" s="35" t="s">
        <v>222</v>
      </c>
      <c r="I13" s="35" t="s">
        <v>223</v>
      </c>
      <c r="J13" s="35" t="s">
        <v>224</v>
      </c>
      <c r="K13" s="35" t="s">
        <v>225</v>
      </c>
      <c r="L13" s="35" t="s">
        <v>226</v>
      </c>
      <c r="M13" s="35" t="s">
        <v>227</v>
      </c>
      <c r="N13" s="35" t="s">
        <v>236</v>
      </c>
      <c r="O13" s="35" t="s">
        <v>234</v>
      </c>
      <c r="P13" s="35" t="s">
        <v>228</v>
      </c>
      <c r="Q13" s="35" t="s">
        <v>229</v>
      </c>
    </row>
    <row r="17" spans="2:5" ht="18" thickBot="1" x14ac:dyDescent="0.35">
      <c r="B17" s="50" t="s">
        <v>179</v>
      </c>
      <c r="C17" s="50"/>
      <c r="D17" s="50"/>
      <c r="E17" s="50"/>
    </row>
    <row r="18" spans="2:5" ht="66.75" customHeight="1" thickTop="1" x14ac:dyDescent="0.25">
      <c r="B18" s="38" t="s">
        <v>237</v>
      </c>
      <c r="C18" s="38"/>
      <c r="D18" s="38"/>
      <c r="E18" s="38"/>
    </row>
    <row r="19" spans="2:5" x14ac:dyDescent="0.25">
      <c r="B19" s="39"/>
      <c r="C19" s="39"/>
      <c r="D19" s="39"/>
      <c r="E19" s="39"/>
    </row>
    <row r="20" spans="2:5" x14ac:dyDescent="0.25">
      <c r="B20" s="39"/>
      <c r="C20" s="39"/>
      <c r="D20" s="39"/>
      <c r="E20" s="39"/>
    </row>
  </sheetData>
  <mergeCells count="6">
    <mergeCell ref="B18:E20"/>
    <mergeCell ref="B8:E8"/>
    <mergeCell ref="B4:E4"/>
    <mergeCell ref="B6:E7"/>
    <mergeCell ref="B5:E5"/>
    <mergeCell ref="B17:E17"/>
  </mergeCells>
  <phoneticPr fontId="11" type="noConversion"/>
  <conditionalFormatting sqref="B2">
    <cfRule type="cellIs" dxfId="22" priority="1" operator="lessThan">
      <formula>30</formula>
    </cfRule>
    <cfRule type="cellIs" dxfId="21" priority="2" operator="greaterThan">
      <formula>30</formula>
    </cfRule>
  </conditionalFormatting>
  <pageMargins left="0.7" right="0.7" top="0.75" bottom="0.75" header="0.3" footer="0.3"/>
  <pageSetup orientation="portrait" r:id="rId1"/>
  <webPublishItems count="1">
    <webPublishItem id="27588" divId="Caliber Comparisons - Lucky Gunner Lab Data - 380ACP-9mm-40SW-357SIG-45ACP_27588" sourceType="range" sourceRef="A1:L21" destinationFile="C:\Users\Anders\Downloads\OHREF Calculator.htm"/>
  </webPublishItem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FE28F8-1AE5-4962-9828-54EE2C896684}">
  <dimension ref="A1:BA192"/>
  <sheetViews>
    <sheetView workbookViewId="0">
      <selection activeCell="A30" sqref="A30"/>
    </sheetView>
  </sheetViews>
  <sheetFormatPr defaultRowHeight="15" x14ac:dyDescent="0.25"/>
  <cols>
    <col min="1" max="1" width="45.42578125" customWidth="1"/>
    <col min="2" max="2" width="25.28515625" customWidth="1"/>
    <col min="3" max="3" width="34.5703125" customWidth="1"/>
    <col min="4" max="5" width="21.7109375" customWidth="1"/>
    <col min="6" max="6" width="21.7109375" style="23" customWidth="1"/>
    <col min="7" max="7" width="29.7109375" customWidth="1"/>
    <col min="8" max="8" width="29.7109375" style="23" customWidth="1"/>
    <col min="9" max="10" width="20.7109375" customWidth="1"/>
    <col min="11" max="11" width="20.7109375" style="23" customWidth="1"/>
    <col min="12" max="13" width="22.85546875" customWidth="1"/>
    <col min="14" max="14" width="22.85546875" style="23" customWidth="1"/>
    <col min="15" max="16" width="31.42578125" customWidth="1"/>
    <col min="17" max="17" width="31.42578125" style="23" customWidth="1"/>
    <col min="18" max="18" width="42.28515625" customWidth="1"/>
    <col min="20" max="20" width="27.85546875" customWidth="1"/>
    <col min="21" max="21" width="18.42578125" bestFit="1" customWidth="1"/>
  </cols>
  <sheetData>
    <row r="1" spans="1:18" x14ac:dyDescent="0.25">
      <c r="A1" t="s">
        <v>20</v>
      </c>
      <c r="B1" t="s">
        <v>163</v>
      </c>
      <c r="C1" t="s">
        <v>199</v>
      </c>
      <c r="D1" t="s">
        <v>180</v>
      </c>
      <c r="E1" t="s">
        <v>181</v>
      </c>
      <c r="F1" s="23" t="s">
        <v>197</v>
      </c>
      <c r="G1" t="s">
        <v>22</v>
      </c>
      <c r="H1" s="23" t="s">
        <v>198</v>
      </c>
      <c r="I1" t="s">
        <v>23</v>
      </c>
      <c r="J1" t="s">
        <v>184</v>
      </c>
      <c r="K1" s="23" t="s">
        <v>200</v>
      </c>
      <c r="L1" t="s">
        <v>24</v>
      </c>
      <c r="M1" t="s">
        <v>25</v>
      </c>
      <c r="N1" s="23" t="s">
        <v>202</v>
      </c>
      <c r="O1" t="s">
        <v>174</v>
      </c>
      <c r="P1" t="s">
        <v>230</v>
      </c>
      <c r="Q1" s="23" t="s">
        <v>201</v>
      </c>
      <c r="R1" t="s">
        <v>165</v>
      </c>
    </row>
    <row r="2" spans="1:18" x14ac:dyDescent="0.25">
      <c r="A2" t="s">
        <v>124</v>
      </c>
      <c r="B2" t="s">
        <v>168</v>
      </c>
      <c r="C2" s="2">
        <f>(IF(AND(G2&gt;=13.5,G2&lt;24,I2&gt;=(J2*1.2),E2/D2&gt;=0.85),
(N2
+H2
+K2
+Q2
+F2)*100,
(0.75*(N2
+H2
+K2
+Q2
+F2)*100)))</f>
        <v>136.18121836548121</v>
      </c>
      <c r="D2" s="4">
        <v>125</v>
      </c>
      <c r="E2" s="4">
        <v>125</v>
      </c>
      <c r="F2" s="24">
        <f>IF(E2/D2&gt;=(D2*0.85),(E2/D2)*B187,((E2/D2)/0.85)*B187)</f>
        <v>0.17647058823529413</v>
      </c>
      <c r="G2" s="3">
        <v>15.4</v>
      </c>
      <c r="H2" s="24">
        <f>IF(G2&lt;12,
    0,
    IF(G2&lt;=19,
        ((G2 - 14) / (6 ^ 1.5) * 0.15 + 0.85) * 0.4,
        IF(G2&lt;=24,
            (((19 - 14) / (6 ^ 1.5) * 0.15 + 0.85) * 0.4) +
            ((G2 - 19) / (6 ^ 1.5) * 0.15 * 0.1) * 0.4,
            IF(G2&lt;=24,
                (
                    (
                        ((19 - 14) / (6 ^ 1.5) * 0.15 + 0.85) +
                        (5 / (6 ^ 1.5) * 0.15 * 0.1)
                    ) * 0.4
                ) * (1 - ((G2 - 24) / 5)),
                0
            )
        )
    )
)</f>
        <v>0.34571547606649411</v>
      </c>
      <c r="I2" s="22">
        <v>0.69</v>
      </c>
      <c r="J2" s="22">
        <v>0.35499999999999998</v>
      </c>
      <c r="K2" s="24">
        <f>IF(I2&gt;=(J2*1.2),(((((I2/0.5325)^2)*0.25)+(((I2/J2)^2)*0.75))*(0.25))*(0.15),0)</f>
        <v>0.12199216425312437</v>
      </c>
      <c r="L2" s="4">
        <v>1423</v>
      </c>
      <c r="M2" s="4">
        <f>(D2*(L2^2))/450437</f>
        <v>561.93457686646525</v>
      </c>
      <c r="N2" s="24">
        <f>(((M2/100)/2)*0.1)</f>
        <v>0.28096728843323265</v>
      </c>
      <c r="O2" s="4">
        <v>16</v>
      </c>
      <c r="P2" s="4">
        <v>15</v>
      </c>
      <c r="Q2" s="24">
        <f>((O2/15)*0.4)+(((P2*0.1)*0.25)/15)*0.4</f>
        <v>0.4366666666666667</v>
      </c>
      <c r="R2" s="4">
        <f>M2*O2</f>
        <v>8990.953229863444</v>
      </c>
    </row>
    <row r="3" spans="1:18" x14ac:dyDescent="0.25">
      <c r="A3" t="s">
        <v>117</v>
      </c>
      <c r="B3" t="s">
        <v>168</v>
      </c>
      <c r="C3" s="2">
        <f>(IF(AND(G3&gt;=13.5,G3&lt;24,I3&gt;=(J3*1.2),E3/D3&gt;=0.85),
(N3
+H3
+K3
+Q3
+F3)*100,
(0.75*(N3
+H3
+K3
+Q3
+F3)*100)))</f>
        <v>133.17421182591619</v>
      </c>
      <c r="D3" s="4">
        <v>125</v>
      </c>
      <c r="E3" s="4">
        <v>125</v>
      </c>
      <c r="F3" s="24">
        <f>IF(E3/D3&gt;=(D3*0.85),(E3/D3)*0.15,((E3/D3)/0.85)*0.15)</f>
        <v>0.17647058823529413</v>
      </c>
      <c r="G3" s="3">
        <v>18</v>
      </c>
      <c r="H3" s="24">
        <f>IF(G3&lt;12,
    0,
    IF(G3&lt;=19,
        ((G3 - 14) / (6 ^ 1.5) * 0.15 + 0.85) * 0.4,
        IF(G3&lt;=24,
            (((19 - 14) / (6 ^ 1.5) * 0.15 + 0.85) * 0.4) +
            ((G3 - 19) / (6 ^ 1.5) * 0.15 * 0.1) * 0.4,
            IF(G3&lt;=24,
                (
                    (
                        ((19 - 14) / (6 ^ 1.5) * 0.15 + 0.85) +
                        (5 / (6 ^ 1.5) * 0.15 * 0.1)
                    ) * 0.4
                ) * (1 - ((G3 - 24) / 5)),
                0
            )
        )
    )
)</f>
        <v>0.35632993161855453</v>
      </c>
      <c r="I3" s="22">
        <v>0.61</v>
      </c>
      <c r="J3" s="22">
        <v>0.35499999999999998</v>
      </c>
      <c r="K3" s="24">
        <f>IF(I3&gt;=(J3*1.2),(((((I3/0.5325)^2)*0.25)+(((I3/J3)^2)*0.75))*(0.25))*(0.15),0)</f>
        <v>9.5344012431395897E-2</v>
      </c>
      <c r="L3" s="4">
        <v>1387</v>
      </c>
      <c r="M3" s="4">
        <f>(D3*(L3^2))/450437</f>
        <v>533.86183861450104</v>
      </c>
      <c r="N3" s="24">
        <f>(((M3/100)/2)*0.1)</f>
        <v>0.26693091930725055</v>
      </c>
      <c r="O3" s="4">
        <v>16</v>
      </c>
      <c r="P3" s="4">
        <v>15</v>
      </c>
      <c r="Q3" s="24">
        <f>((O3/15)*0.4)+(((P3*0.1)*0.25)/15)*0.4</f>
        <v>0.4366666666666667</v>
      </c>
      <c r="R3" s="4">
        <f>M3*O3</f>
        <v>8541.7894178320166</v>
      </c>
    </row>
    <row r="4" spans="1:18" x14ac:dyDescent="0.25">
      <c r="A4" t="s">
        <v>122</v>
      </c>
      <c r="B4" t="s">
        <v>168</v>
      </c>
      <c r="C4" s="2">
        <f>(IF(AND(G4&gt;=13.5,G4&lt;24,I4&gt;=(J4*1.2),E4/D4&gt;=0.85),
(N4
+H4
+K4
+Q4
+F4)*100,
(0.75*(N4
+H4
+K4
+Q4
+F4)*100)))</f>
        <v>132.73674313355096</v>
      </c>
      <c r="D4" s="4">
        <v>125</v>
      </c>
      <c r="E4" s="4">
        <v>125</v>
      </c>
      <c r="F4" s="24">
        <f>IF(E4/D4&gt;=(D4*0.85),(E4/D4)*0.15,((E4/D4)/0.85)*0.15)</f>
        <v>0.17647058823529413</v>
      </c>
      <c r="G4" s="3">
        <v>15.4</v>
      </c>
      <c r="H4" s="24">
        <f>IF(G4&lt;12,
    0,
    IF(G4&lt;=19,
        ((G4 - 14) / (6 ^ 1.5) * 0.15 + 0.85) * 0.4,
        IF(G4&lt;=24,
            (((19 - 14) / (6 ^ 1.5) * 0.15 + 0.85) * 0.4) +
            ((G4 - 19) / (6 ^ 1.5) * 0.15 * 0.1) * 0.4,
            IF(G4&lt;=24,
                (
                    (
                        ((19 - 14) / (6 ^ 1.5) * 0.15 + 0.85) +
                        (5 / (6 ^ 1.5) * 0.15 * 0.1)
                    ) * 0.4
                ) * (1 - ((G4 - 24) / 5)),
                0
            )
        )
    )
)</f>
        <v>0.34571547606649411</v>
      </c>
      <c r="I4" s="22">
        <v>0.62</v>
      </c>
      <c r="J4" s="22">
        <v>0.35499999999999998</v>
      </c>
      <c r="K4" s="24">
        <f>IF(I4&gt;=(J4*1.2),(((((I4/0.5325)^2)*0.25)+(((I4/J4)^2)*0.75))*(0.25))*(0.15),0)</f>
        <v>9.8495668848773407E-2</v>
      </c>
      <c r="L4" s="4">
        <v>1395</v>
      </c>
      <c r="M4" s="4">
        <f>(D4*(L4^2))/450437</f>
        <v>540.03806303656222</v>
      </c>
      <c r="N4" s="24">
        <f>(((M4/100)/2)*0.1)</f>
        <v>0.27001903151828111</v>
      </c>
      <c r="O4" s="4">
        <v>16</v>
      </c>
      <c r="P4" s="4">
        <v>15</v>
      </c>
      <c r="Q4" s="24">
        <f>((O4/15)*0.4)+(((P4*0.1)*0.25)/15)*0.4</f>
        <v>0.4366666666666667</v>
      </c>
      <c r="R4" s="4">
        <f>M4*O4</f>
        <v>8640.6090085849955</v>
      </c>
    </row>
    <row r="5" spans="1:18" x14ac:dyDescent="0.25">
      <c r="A5" t="s">
        <v>121</v>
      </c>
      <c r="B5" t="s">
        <v>168</v>
      </c>
      <c r="C5" s="2">
        <f>(IF(AND(G5&gt;=13.5,G5&lt;24,I5&gt;=(J5*1.2),E5/D5&gt;=0.85),
(N5
+H5
+K5
+Q5
+F5)*100,
(0.75*(N5
+H5
+K5
+Q5
+F5)*100)))</f>
        <v>132.73479271372352</v>
      </c>
      <c r="D5" s="4">
        <v>125</v>
      </c>
      <c r="E5" s="4">
        <v>125</v>
      </c>
      <c r="F5" s="24">
        <f>IF(E5/D5&gt;=(D5*0.85),(E5/D5)*0.15,((E5/D5)/0.85)*0.15)</f>
        <v>0.17647058823529413</v>
      </c>
      <c r="G5" s="3">
        <v>19.7</v>
      </c>
      <c r="H5" s="24">
        <f>IF(G5&lt;12,
    0,
    IF(G5&lt;=19,
        ((G5 - 14) / (6 ^ 1.5) * 0.15 + 0.85) * 0.4,
        IF(G5&lt;=24,
            (((19 - 14) / (6 ^ 1.5) * 0.15 + 0.85) * 0.4) +
            ((G5 - 19) / (6 ^ 1.5) * 0.15 * 0.1) * 0.4,
            IF(G5&lt;=24,
                (
                    (
                        ((19 - 14) / (6 ^ 1.5) * 0.15 + 0.85) +
                        (5 / (6 ^ 1.5) * 0.15 * 0.1)
                    ) * 0.4
                ) * (1 - ((G5 - 24) / 5)),
                0
            )
        )
    )
)</f>
        <v>0.3606981883265179</v>
      </c>
      <c r="I5" s="22">
        <v>0.57999999999999996</v>
      </c>
      <c r="J5" s="22">
        <v>0.35499999999999998</v>
      </c>
      <c r="K5" s="24">
        <f>IF(I5&gt;=(J5*1.2),(((((I5/0.5325)^2)*0.25)+(((I5/J5)^2)*0.75))*(0.25))*(0.15),0)</f>
        <v>8.6196521854129474E-2</v>
      </c>
      <c r="L5" s="4">
        <v>1388</v>
      </c>
      <c r="M5" s="4">
        <f>(D5*(L5^2))/450437</f>
        <v>534.63192410925387</v>
      </c>
      <c r="N5" s="24">
        <f>(((M5/100)/2)*0.1)</f>
        <v>0.26731596205462699</v>
      </c>
      <c r="O5" s="4">
        <v>16</v>
      </c>
      <c r="P5" s="4">
        <v>15</v>
      </c>
      <c r="Q5" s="24">
        <f>((O5/15)*0.4)+(((P5*0.1)*0.25)/15)*0.4</f>
        <v>0.4366666666666667</v>
      </c>
      <c r="R5" s="4">
        <f>M5*O5</f>
        <v>8554.110785748062</v>
      </c>
    </row>
    <row r="6" spans="1:18" x14ac:dyDescent="0.25">
      <c r="A6" t="s">
        <v>58</v>
      </c>
      <c r="B6" t="s">
        <v>166</v>
      </c>
      <c r="C6" s="2">
        <f>(IF(AND(G6&gt;=13.5,G6&lt;24,I6&gt;=(J6*1.2),E6/D6&gt;=0.85),
(N6
+H6
+K6
+Q6
+F6)*100,
(0.75*(N6
+H6
+K6
+Q6
+F6)*100)))</f>
        <v>132.49861309962279</v>
      </c>
      <c r="D6" s="4">
        <v>124</v>
      </c>
      <c r="E6" s="4">
        <v>124</v>
      </c>
      <c r="F6" s="24">
        <f>IF(E6/D6&gt;=(D6*0.85),(E6/D6)*0.15,((E6/D6)/0.85)*0.15)</f>
        <v>0.17647058823529413</v>
      </c>
      <c r="G6" s="3">
        <v>18.2</v>
      </c>
      <c r="H6" s="24">
        <f>IF(G6&lt;12,
    0,
    IF(G6&lt;=19,
        ((G6 - 14) / (6 ^ 1.5) * 0.15 + 0.85) * 0.4,
        IF(G6&lt;=24,
            (((19 - 14) / (6 ^ 1.5) * 0.15 + 0.85) * 0.4) +
            ((G6 - 19) / (6 ^ 1.5) * 0.15 * 0.1) * 0.4,
            IF(G6&lt;=24,
                (
                    (
                        ((19 - 14) / (6 ^ 1.5) * 0.15 + 0.85) +
                        (5 / (6 ^ 1.5) * 0.15 * 0.1)
                    ) * 0.4
                ) * (1 - ((G6 - 24) / 5)),
                0
            )
        )
    )
)</f>
        <v>0.35714642819948228</v>
      </c>
      <c r="I6" s="22">
        <v>0.66</v>
      </c>
      <c r="J6" s="22">
        <v>0.35499999999999998</v>
      </c>
      <c r="K6" s="24">
        <f>IF(I6&gt;=(J6*1.2),(((((I6/0.5325)^2)*0.25)+(((I6/J6)^2)*0.75))*(0.25))*(0.15),0)</f>
        <v>0.11161475897639359</v>
      </c>
      <c r="L6" s="4">
        <v>1170</v>
      </c>
      <c r="M6" s="4">
        <f>(D6*(L6^2))/450437</f>
        <v>376.84204450344885</v>
      </c>
      <c r="N6" s="24">
        <f>(((M6/100)/2)*0.1)</f>
        <v>0.18842102225172441</v>
      </c>
      <c r="O6" s="4">
        <v>18</v>
      </c>
      <c r="P6" s="4">
        <v>17</v>
      </c>
      <c r="Q6" s="24">
        <f>((O6/15)*0.4)+(((P6*0.1)*0.25)/15)*0.4</f>
        <v>0.49133333333333329</v>
      </c>
      <c r="R6" s="4">
        <f>M6*O6</f>
        <v>6783.1568010620795</v>
      </c>
    </row>
    <row r="7" spans="1:18" x14ac:dyDescent="0.25">
      <c r="A7" t="s">
        <v>32</v>
      </c>
      <c r="B7" t="s">
        <v>166</v>
      </c>
      <c r="C7" s="2">
        <f>(IF(AND(G7&gt;=13.5,G7&lt;24,I7&gt;=(J7*1.2),E7/D7&gt;=0.85),
(N7
+H7
+K7
+Q7
+F7)*100,
(0.75*(N7
+H7
+K7
+Q7
+F7)*100)))</f>
        <v>132.47507554280833</v>
      </c>
      <c r="D7" s="4">
        <v>124</v>
      </c>
      <c r="E7" s="4">
        <v>124</v>
      </c>
      <c r="F7" s="24">
        <f>IF(E7/D7&gt;=(D7*0.85),(E7/D7)*0.15,((E7/D7)/0.85)*0.15)</f>
        <v>0.17647058823529413</v>
      </c>
      <c r="G7" s="3">
        <v>18.3</v>
      </c>
      <c r="H7" s="24">
        <f>IF(G7&lt;12,
    0,
    IF(G7&lt;=19,
        ((G7 - 14) / (6 ^ 1.5) * 0.15 + 0.85) * 0.4,
        IF(G7&lt;=24,
            (((19 - 14) / (6 ^ 1.5) * 0.15 + 0.85) * 0.4) +
            ((G7 - 19) / (6 ^ 1.5) * 0.15 * 0.1) * 0.4,
            IF(G7&lt;=24,
                (
                    (
                        ((19 - 14) / (6 ^ 1.5) * 0.15 + 0.85) +
                        (5 / (6 ^ 1.5) * 0.15 * 0.1)
                    ) * 0.4
                ) * (1 - ((G7 - 24) / 5)),
                0
            )
        )
    )
)</f>
        <v>0.35755467648994615</v>
      </c>
      <c r="I7" s="22">
        <v>0.66</v>
      </c>
      <c r="J7" s="22">
        <v>0.35499999999999998</v>
      </c>
      <c r="K7" s="24">
        <f>IF(I7&gt;=(J7*1.2),(((((I7/0.5325)^2)*0.25)+(((I7/J7)^2)*0.75))*(0.25))*(0.15),0)</f>
        <v>0.11161475897639359</v>
      </c>
      <c r="L7" s="4">
        <v>1168</v>
      </c>
      <c r="M7" s="4">
        <f>(D7*(L7^2))/450437</f>
        <v>375.55479678623203</v>
      </c>
      <c r="N7" s="24">
        <f>(((M7/100)/2)*0.1)</f>
        <v>0.18777739839311602</v>
      </c>
      <c r="O7" s="4">
        <v>18</v>
      </c>
      <c r="P7" s="4">
        <v>17</v>
      </c>
      <c r="Q7" s="24">
        <f>((O7/15)*0.4)+(((P7*0.1)*0.25)/15)*0.4</f>
        <v>0.49133333333333329</v>
      </c>
      <c r="R7" s="4">
        <f>M7*O7</f>
        <v>6759.9863421521768</v>
      </c>
    </row>
    <row r="8" spans="1:18" x14ac:dyDescent="0.25">
      <c r="A8" t="s">
        <v>120</v>
      </c>
      <c r="B8" t="s">
        <v>168</v>
      </c>
      <c r="C8" s="2">
        <f>(IF(AND(G8&gt;=13.5,G8&lt;24,I8&gt;=(J8*1.2),E8/D8&gt;=0.85),
(N8
+H8
+K8
+Q8
+F8)*100,
(0.75*(N8
+H8
+K8
+Q8
+F8)*100)))</f>
        <v>131.95257258069657</v>
      </c>
      <c r="D8" s="4">
        <v>125</v>
      </c>
      <c r="E8" s="4">
        <v>125</v>
      </c>
      <c r="F8" s="24">
        <f>IF(E8/D8&gt;=(D8*0.85),(E8/D8)*0.15,((E8/D8)/0.85)*0.15)</f>
        <v>0.17647058823529413</v>
      </c>
      <c r="G8" s="3">
        <v>18.2</v>
      </c>
      <c r="H8" s="24">
        <f>IF(G8&lt;12,
    0,
    IF(G8&lt;=19,
        ((G8 - 14) / (6 ^ 1.5) * 0.15 + 0.85) * 0.4,
        IF(G8&lt;=24,
            (((19 - 14) / (6 ^ 1.5) * 0.15 + 0.85) * 0.4) +
            ((G8 - 19) / (6 ^ 1.5) * 0.15 * 0.1) * 0.4,
            IF(G8&lt;=24,
                (
                    (
                        ((19 - 14) / (6 ^ 1.5) * 0.15 + 0.85) +
                        (5 / (6 ^ 1.5) * 0.15 * 0.1)
                    ) * 0.4
                ) * (1 - ((G8 - 24) / 5)),
                0
            )
        )
    )
)</f>
        <v>0.35714642819948228</v>
      </c>
      <c r="I8" s="22">
        <v>0.59</v>
      </c>
      <c r="J8" s="22">
        <v>0.35499999999999998</v>
      </c>
      <c r="K8" s="24">
        <f>IF(I8&gt;=(J8*1.2),(((((I8/0.5325)^2)*0.25)+(((I8/J8)^2)*0.75))*(0.25))*(0.15),0)</f>
        <v>8.919443893407393E-2</v>
      </c>
      <c r="L8" s="4">
        <v>1369</v>
      </c>
      <c r="M8" s="4">
        <f>(D8*(L8^2))/450437</f>
        <v>520.09520754289724</v>
      </c>
      <c r="N8" s="24">
        <f>(((M8/100)/2)*0.1)</f>
        <v>0.26004760377144864</v>
      </c>
      <c r="O8" s="4">
        <v>16</v>
      </c>
      <c r="P8" s="4">
        <v>15</v>
      </c>
      <c r="Q8" s="24">
        <f>((O8/15)*0.4)+(((P8*0.1)*0.25)/15)*0.4</f>
        <v>0.4366666666666667</v>
      </c>
      <c r="R8" s="4">
        <f>M8*O8</f>
        <v>8321.5233206863559</v>
      </c>
    </row>
    <row r="9" spans="1:18" x14ac:dyDescent="0.25">
      <c r="A9" t="s">
        <v>73</v>
      </c>
      <c r="B9" t="s">
        <v>166</v>
      </c>
      <c r="C9" s="2">
        <f>(IF(AND(G9&gt;=13.5,G9&lt;24,I9&gt;=(J9*1.2),E9/D9&gt;=0.85),
(N9
+H9
+K9
+Q9
+F9)*100,
(0.75*(N9
+H9
+K9
+Q9
+F9)*100)))</f>
        <v>130.92099364444476</v>
      </c>
      <c r="D9" s="4">
        <v>127</v>
      </c>
      <c r="E9" s="4">
        <v>127</v>
      </c>
      <c r="F9" s="24">
        <f>IF(E9/D9&gt;=(D9*0.85),(E9/D9)*0.15,((E9/D9)/0.85)*0.15)</f>
        <v>0.17647058823529413</v>
      </c>
      <c r="G9" s="3">
        <v>21.2</v>
      </c>
      <c r="H9" s="24">
        <f>IF(G9&lt;12,
    0,
    IF(G9&lt;=19,
        ((G9 - 14) / (6 ^ 1.5) * 0.15 + 0.85) * 0.4,
        IF(G9&lt;=24,
            (((19 - 14) / (6 ^ 1.5) * 0.15 + 0.85) * 0.4) +
            ((G9 - 19) / (6 ^ 1.5) * 0.15 * 0.1) * 0.4,
            IF(G9&lt;=24,
                (
                    (
                        ((19 - 14) / (6 ^ 1.5) * 0.15 + 0.85) +
                        (5 / (6 ^ 1.5) * 0.15 * 0.1)
                    ) * 0.4
                ) * (1 - ((G9 - 24) / 5)),
                0
            )
        )
    )
)</f>
        <v>0.36131056076221368</v>
      </c>
      <c r="I9" s="22">
        <v>0.54</v>
      </c>
      <c r="J9" s="22">
        <v>0.35499999999999998</v>
      </c>
      <c r="K9" s="24">
        <f>IF(I9&gt;=(J9*1.2),(((((I9/0.5325)^2)*0.25)+(((I9/J9)^2)*0.75))*(0.25))*(0.15),0)</f>
        <v>7.471731799246184E-2</v>
      </c>
      <c r="L9" s="4">
        <v>1207</v>
      </c>
      <c r="M9" s="4">
        <f>(D9*(L9^2))/450437</f>
        <v>410.75627224228913</v>
      </c>
      <c r="N9" s="24">
        <f>(((M9/100)/2)*0.1)</f>
        <v>0.20537813612114456</v>
      </c>
      <c r="O9" s="4">
        <v>18</v>
      </c>
      <c r="P9" s="4">
        <v>17</v>
      </c>
      <c r="Q9" s="24">
        <f>((O9/15)*0.4)+(((P9*0.1)*0.25)/15)*0.4</f>
        <v>0.49133333333333329</v>
      </c>
      <c r="R9" s="4">
        <f>M9*O9</f>
        <v>7393.6129003612041</v>
      </c>
    </row>
    <row r="10" spans="1:18" x14ac:dyDescent="0.25">
      <c r="A10" t="s">
        <v>118</v>
      </c>
      <c r="B10" t="s">
        <v>168</v>
      </c>
      <c r="C10" s="2">
        <f>(IF(AND(G10&gt;=13.5,G10&lt;24,I10&gt;=(J10*1.2),E10/D10&gt;=0.85),
(N10
+H10
+K10
+Q10
+F10)*100,
(0.75*(N10
+H10
+K10
+Q10
+F10)*100)))</f>
        <v>130.3890742030739</v>
      </c>
      <c r="D10" s="4">
        <v>125</v>
      </c>
      <c r="E10" s="4">
        <v>125</v>
      </c>
      <c r="F10" s="24">
        <f>IF(E10/D10&gt;=(D10*0.85),(E10/D10)*0.15,((E10/D10)/0.85)*0.15)</f>
        <v>0.17647058823529413</v>
      </c>
      <c r="G10" s="3">
        <v>22.4</v>
      </c>
      <c r="H10" s="24">
        <f>IF(G10&lt;12,
    0,
    IF(G10&lt;=19,
        ((G10 - 14) / (6 ^ 1.5) * 0.15 + 0.85) * 0.4,
        IF(G10&lt;=24,
            (((19 - 14) / (6 ^ 1.5) * 0.15 + 0.85) * 0.4) +
            ((G10 - 19) / (6 ^ 1.5) * 0.15 * 0.1) * 0.4,
            IF(G10&lt;=24,
                (
                    (
                        ((19 - 14) / (6 ^ 1.5) * 0.15 + 0.85) +
                        (5 / (6 ^ 1.5) * 0.15 * 0.1)
                    ) * 0.4
                ) * (1 - ((G10 - 24) / 5)),
                0
            )
        )
    )
)</f>
        <v>0.36180045871077032</v>
      </c>
      <c r="I10" s="22">
        <v>0.52</v>
      </c>
      <c r="J10" s="22">
        <v>0.35499999999999998</v>
      </c>
      <c r="K10" s="24">
        <f>IF(I10&gt;=(J10*1.2),(((((I10/0.5325)^2)*0.25)+(((I10/J10)^2)*0.75))*(0.25))*(0.15),0)</f>
        <v>6.9285194736494096E-2</v>
      </c>
      <c r="L10" s="4">
        <v>1368</v>
      </c>
      <c r="M10" s="4">
        <f>(D10*(L10^2))/450437</f>
        <v>519.33566736302748</v>
      </c>
      <c r="N10" s="24">
        <f>(((M10/100)/2)*0.1)</f>
        <v>0.25966783368151375</v>
      </c>
      <c r="O10" s="4">
        <v>16</v>
      </c>
      <c r="P10" s="4">
        <v>15</v>
      </c>
      <c r="Q10" s="24">
        <f>((O10/15)*0.4)+(((P10*0.1)*0.25)/15)*0.4</f>
        <v>0.4366666666666667</v>
      </c>
      <c r="R10" s="4">
        <f>M10*O10</f>
        <v>8309.3706778084397</v>
      </c>
    </row>
    <row r="11" spans="1:18" x14ac:dyDescent="0.25">
      <c r="A11" t="s">
        <v>76</v>
      </c>
      <c r="B11" t="s">
        <v>166</v>
      </c>
      <c r="C11" s="2">
        <f>(IF(AND(G11&gt;=13.5,G11&lt;24,I11&gt;=(J11*1.2),E11/D11&gt;=0.85),
(N11
+H11
+K11
+Q11
+F11)*100,
(0.75*(N11
+H11
+K11
+Q11
+F11)*100)))</f>
        <v>130.28111466499075</v>
      </c>
      <c r="D11" s="4">
        <v>147</v>
      </c>
      <c r="E11" s="4">
        <v>147</v>
      </c>
      <c r="F11" s="24">
        <f>IF(E11/D11&gt;=(D11*0.85),(E11/D11)*0.15,((E11/D11)/0.85)*0.15)</f>
        <v>0.17647058823529413</v>
      </c>
      <c r="G11" s="3">
        <v>16.5</v>
      </c>
      <c r="H11" s="24">
        <f>IF(G11&lt;12,
    0,
    IF(G11&lt;=19,
        ((G11 - 14) / (6 ^ 1.5) * 0.15 + 0.85) * 0.4,
        IF(G11&lt;=24,
            (((19 - 14) / (6 ^ 1.5) * 0.15 + 0.85) * 0.4) +
            ((G11 - 19) / (6 ^ 1.5) * 0.15 * 0.1) * 0.4,
            IF(G11&lt;=24,
                (
                    (
                        ((19 - 14) / (6 ^ 1.5) * 0.15 + 0.85) +
                        (5 / (6 ^ 1.5) * 0.15 * 0.1)
                    ) * 0.4
                ) * (1 - ((G11 - 24) / 5)),
                0
            )
        )
    )
)</f>
        <v>0.35020620726159657</v>
      </c>
      <c r="I11" s="22">
        <v>0.74</v>
      </c>
      <c r="J11" s="22">
        <v>0.35499999999999998</v>
      </c>
      <c r="K11" s="24">
        <f>IF(I11&gt;=(J11*1.2),(((((I11/0.5325)^2)*0.25)+(((I11/J11)^2)*0.75))*(0.25))*(0.15),0)</f>
        <v>0.14031276863056272</v>
      </c>
      <c r="L11" s="4">
        <v>941</v>
      </c>
      <c r="M11" s="4">
        <f>(D11*(L11^2))/450437</f>
        <v>288.97649837824156</v>
      </c>
      <c r="N11" s="24">
        <f>(((M11/100)/2)*0.1)</f>
        <v>0.14448824918912079</v>
      </c>
      <c r="O11" s="4">
        <v>18</v>
      </c>
      <c r="P11" s="4">
        <v>17</v>
      </c>
      <c r="Q11" s="24">
        <f>((O11/15)*0.4)+(((P11*0.1)*0.25)/15)*0.4</f>
        <v>0.49133333333333329</v>
      </c>
      <c r="R11" s="4">
        <f>M11*O11</f>
        <v>5201.5769708083481</v>
      </c>
    </row>
    <row r="12" spans="1:18" x14ac:dyDescent="0.25">
      <c r="A12" t="s">
        <v>110</v>
      </c>
      <c r="B12" t="s">
        <v>167</v>
      </c>
      <c r="C12" s="2">
        <f>(IF(AND(G12&gt;=13.5,G12&lt;24,I12&gt;=(J12*1.2),E12/D12&gt;=0.85),
(N12
+H12
+K12
+Q12
+F12)*100,
(0.75*(N12
+H12
+K12
+Q12
+F12)*100)))</f>
        <v>130.06312542136664</v>
      </c>
      <c r="D12" s="4">
        <v>165</v>
      </c>
      <c r="E12" s="4">
        <v>165</v>
      </c>
      <c r="F12" s="24">
        <f>IF(E12/D12&gt;=(D12*0.85),(E12/D12)*0.15,((E12/D12)/0.85)*0.15)</f>
        <v>0.17647058823529413</v>
      </c>
      <c r="G12" s="3">
        <v>14.7</v>
      </c>
      <c r="H12" s="24">
        <f>IF(G12&lt;12,
    0,
    IF(G12&lt;=19,
        ((G12 - 14) / (6 ^ 1.5) * 0.15 + 0.85) * 0.4,
        IF(G12&lt;=24,
            (((19 - 14) / (6 ^ 1.5) * 0.15 + 0.85) * 0.4) +
            ((G12 - 19) / (6 ^ 1.5) * 0.15 * 0.1) * 0.4,
            IF(G12&lt;=24,
                (
                    (
                        ((19 - 14) / (6 ^ 1.5) * 0.15 + 0.85) +
                        (5 / (6 ^ 1.5) * 0.15 * 0.1)
                    ) * 0.4
                ) * (1 - ((G12 - 24) / 5)),
                0
            )
        )
    )
)</f>
        <v>0.34285773803324704</v>
      </c>
      <c r="I12" s="22">
        <v>0.77</v>
      </c>
      <c r="J12" s="22">
        <v>0.4</v>
      </c>
      <c r="K12" s="24">
        <f>IF(I12&gt;=(J12*1.2),(((((I12/0.5325)^2)*0.25)+(((I12/J12)^2)*0.75))*(0.25))*(0.15),0)</f>
        <v>0.12382329520329134</v>
      </c>
      <c r="L12" s="4">
        <v>1098</v>
      </c>
      <c r="M12" s="4">
        <f>(D12*(L12^2))/450437</f>
        <v>441.62593215033399</v>
      </c>
      <c r="N12" s="24">
        <f>(((M12/100)/2)*0.1)</f>
        <v>0.22081296607516698</v>
      </c>
      <c r="O12" s="4">
        <v>16</v>
      </c>
      <c r="P12" s="4">
        <v>15</v>
      </c>
      <c r="Q12" s="24">
        <f>((O12/15)*0.4)+(((P12*0.1)*0.25)/15)*0.4</f>
        <v>0.4366666666666667</v>
      </c>
      <c r="R12" s="4">
        <f>M12*O12</f>
        <v>7066.0149144053439</v>
      </c>
    </row>
    <row r="13" spans="1:18" x14ac:dyDescent="0.25">
      <c r="A13" t="s">
        <v>31</v>
      </c>
      <c r="B13" t="s">
        <v>166</v>
      </c>
      <c r="C13" s="2">
        <f>(IF(AND(G13&gt;=13.5,G13&lt;24,I13&gt;=(J13*1.2),E13/D13&gt;=0.85),
(N13
+H13
+K13
+Q13
+F13)*100,
(0.75*(N13
+H13
+K13
+Q13
+F13)*100)))</f>
        <v>129.8019194163158</v>
      </c>
      <c r="D13" s="4">
        <v>124</v>
      </c>
      <c r="E13" s="4">
        <v>124</v>
      </c>
      <c r="F13" s="24">
        <f>IF(E13/D13&gt;=(D13*0.85),(E13/D13)*0.15,((E13/D13)/0.85)*0.15)</f>
        <v>0.17647058823529413</v>
      </c>
      <c r="G13" s="3">
        <v>18.3</v>
      </c>
      <c r="H13" s="24">
        <f>IF(G13&lt;12,
    0,
    IF(G13&lt;=19,
        ((G13 - 14) / (6 ^ 1.5) * 0.15 + 0.85) * 0.4,
        IF(G13&lt;=24,
            (((19 - 14) / (6 ^ 1.5) * 0.15 + 0.85) * 0.4) +
            ((G13 - 19) / (6 ^ 1.5) * 0.15 * 0.1) * 0.4,
            IF(G13&lt;=24,
                (
                    (
                        ((19 - 14) / (6 ^ 1.5) * 0.15 + 0.85) +
                        (5 / (6 ^ 1.5) * 0.15 * 0.1)
                    ) * 0.4
                ) * (1 - ((G13 - 24) / 5)),
                0
            )
        )
    )
)</f>
        <v>0.35755467648994615</v>
      </c>
      <c r="I13" s="22">
        <v>0.61</v>
      </c>
      <c r="J13" s="22">
        <v>0.35499999999999998</v>
      </c>
      <c r="K13" s="24">
        <f>IF(I13&gt;=(J13*1.2),(((((I13/0.5325)^2)*0.25)+(((I13/J13)^2)*0.75))*(0.25))*(0.15),0)</f>
        <v>9.5344012431395897E-2</v>
      </c>
      <c r="L13" s="4">
        <v>1135</v>
      </c>
      <c r="M13" s="4">
        <f>(D13*(L13^2))/450437</f>
        <v>354.63316734637698</v>
      </c>
      <c r="N13" s="24">
        <f>(((M13/100)/2)*0.1)</f>
        <v>0.1773165836731885</v>
      </c>
      <c r="O13" s="4">
        <v>18</v>
      </c>
      <c r="P13" s="4">
        <v>17</v>
      </c>
      <c r="Q13" s="24">
        <f>((O13/15)*0.4)+(((P13*0.1)*0.25)/15)*0.4</f>
        <v>0.49133333333333329</v>
      </c>
      <c r="R13" s="4">
        <f>M13*O13</f>
        <v>6383.3970122347855</v>
      </c>
    </row>
    <row r="14" spans="1:18" x14ac:dyDescent="0.25">
      <c r="A14" t="s">
        <v>99</v>
      </c>
      <c r="B14" t="s">
        <v>167</v>
      </c>
      <c r="C14" s="2">
        <f>(IF(AND(G14&gt;=13.5,G14&lt;24,I14&gt;=(J14*1.2),E14/D14&gt;=0.85),
(N14
+H14
+K14
+Q14
+F14)*100,
(0.75*(N14
+H14
+K14
+Q14
+F14)*100)))</f>
        <v>129.16541524887748</v>
      </c>
      <c r="D14" s="4">
        <v>165</v>
      </c>
      <c r="E14" s="4">
        <v>165</v>
      </c>
      <c r="F14" s="24">
        <f>IF(E14/D14&gt;=(D14*0.85),(E14/D14)*0.15,((E14/D14)/0.85)*0.15)</f>
        <v>0.17647058823529413</v>
      </c>
      <c r="G14" s="3">
        <v>19.600000000000001</v>
      </c>
      <c r="H14" s="24">
        <f>IF(G14&lt;12,
    0,
    IF(G14&lt;=19,
        ((G14 - 14) / (6 ^ 1.5) * 0.15 + 0.85) * 0.4,
        IF(G14&lt;=24,
            (((19 - 14) / (6 ^ 1.5) * 0.15 + 0.85) * 0.4) +
            ((G14 - 19) / (6 ^ 1.5) * 0.15 * 0.1) * 0.4,
            IF(G14&lt;=24,
                (
                    (
                        ((19 - 14) / (6 ^ 1.5) * 0.15 + 0.85) +
                        (5 / (6 ^ 1.5) * 0.15 * 0.1)
                    ) * 0.4
                ) * (1 - ((G14 - 24) / 5)),
                0
            )
        )
    )
)</f>
        <v>0.36065736349747146</v>
      </c>
      <c r="I14" s="22">
        <v>0.66</v>
      </c>
      <c r="J14" s="22">
        <v>0.4</v>
      </c>
      <c r="K14" s="24">
        <f>IF(I14&gt;=(J14*1.2),(((((I14/0.5325)^2)*0.25)+(((I14/J14)^2)*0.75))*(0.25))*(0.15),0)</f>
        <v>9.0972216884050772E-2</v>
      </c>
      <c r="L14" s="4">
        <v>1113</v>
      </c>
      <c r="M14" s="4">
        <f>(D14*(L14^2))/450437</f>
        <v>453.77463441058347</v>
      </c>
      <c r="N14" s="24">
        <f>(((M14/100)/2)*0.1)</f>
        <v>0.22688731720529176</v>
      </c>
      <c r="O14" s="4">
        <v>16</v>
      </c>
      <c r="P14" s="4">
        <v>15</v>
      </c>
      <c r="Q14" s="24">
        <f>((O14/15)*0.4)+(((P14*0.1)*0.25)/15)*0.4</f>
        <v>0.4366666666666667</v>
      </c>
      <c r="R14" s="4">
        <f>M14*O14</f>
        <v>7260.3941505693356</v>
      </c>
    </row>
    <row r="15" spans="1:18" x14ac:dyDescent="0.25">
      <c r="A15" t="s">
        <v>28</v>
      </c>
      <c r="B15" t="s">
        <v>166</v>
      </c>
      <c r="C15" s="2">
        <f>(IF(AND(G15&gt;=13.5,G15&lt;24,I15&gt;=(J15*1.2),E15/D15&gt;=0.85),
(N15
+H15
+K15
+Q15
+F15)*100,
(0.75*(N15
+H15
+K15
+Q15
+F15)*100)))</f>
        <v>129.03757614806969</v>
      </c>
      <c r="D15" s="4">
        <v>115</v>
      </c>
      <c r="E15" s="4">
        <v>115</v>
      </c>
      <c r="F15" s="24">
        <f>IF(E15/D15&gt;=(D15*0.85),(E15/D15)*0.15,((E15/D15)/0.85)*0.15)</f>
        <v>0.17647058823529413</v>
      </c>
      <c r="G15" s="3">
        <v>13.9</v>
      </c>
      <c r="H15" s="24">
        <f>IF(G15&lt;12,
    0,
    IF(G15&lt;=19,
        ((G15 - 14) / (6 ^ 1.5) * 0.15 + 0.85) * 0.4,
        IF(G15&lt;=24,
            (((19 - 14) / (6 ^ 1.5) * 0.15 + 0.85) * 0.4) +
            ((G15 - 19) / (6 ^ 1.5) * 0.15 * 0.1) * 0.4,
            IF(G15&lt;=24,
                (
                    (
                        ((19 - 14) / (6 ^ 1.5) * 0.15 + 0.85) +
                        (5 / (6 ^ 1.5) * 0.15 * 0.1)
                    ) * 0.4
                ) * (1 - ((G15 - 24) / 5)),
                0
            )
        )
    )
)</f>
        <v>0.33959175170953615</v>
      </c>
      <c r="I15" s="22">
        <v>0.69</v>
      </c>
      <c r="J15" s="22">
        <v>0.35499999999999998</v>
      </c>
      <c r="K15" s="24">
        <f>IF(I15&gt;=(J15*1.2),(((((I15/0.5325)^2)*0.25)+(((I15/J15)^2)*0.75))*(0.25))*(0.15),0)</f>
        <v>0.12199216425312437</v>
      </c>
      <c r="L15" s="4">
        <v>1123</v>
      </c>
      <c r="M15" s="4">
        <f>(D15*(L15^2))/450437</f>
        <v>321.97584789881824</v>
      </c>
      <c r="N15" s="24">
        <f>(((M15/100)/2)*0.1)</f>
        <v>0.16098792394940914</v>
      </c>
      <c r="O15" s="4">
        <v>18</v>
      </c>
      <c r="P15" s="4">
        <v>17</v>
      </c>
      <c r="Q15" s="24">
        <f>((O15/15)*0.4)+(((P15*0.1)*0.25)/15)*0.4</f>
        <v>0.49133333333333329</v>
      </c>
      <c r="R15" s="4">
        <f>M15*O15</f>
        <v>5795.5652621787285</v>
      </c>
    </row>
    <row r="16" spans="1:18" x14ac:dyDescent="0.25">
      <c r="A16" t="s">
        <v>60</v>
      </c>
      <c r="B16" t="s">
        <v>166</v>
      </c>
      <c r="C16" s="2">
        <f>(IF(AND(G16&gt;=13.5,G16&lt;24,I16&gt;=(J16*1.2),E16/D16&gt;=0.85),
(N16
+H16
+K16
+Q16
+F16)*100,
(0.75*(N16
+H16
+K16
+Q16
+F16)*100)))</f>
        <v>128.75222690939182</v>
      </c>
      <c r="D16" s="4">
        <v>124</v>
      </c>
      <c r="E16" s="4">
        <v>124</v>
      </c>
      <c r="F16" s="24">
        <f>IF(E16/D16&gt;=(D16*0.85),(E16/D16)*0.15,((E16/D16)/0.85)*0.15)</f>
        <v>0.17647058823529413</v>
      </c>
      <c r="G16" s="3">
        <v>18.3</v>
      </c>
      <c r="H16" s="24">
        <f>IF(G16&lt;12,
    0,
    IF(G16&lt;=19,
        ((G16 - 14) / (6 ^ 1.5) * 0.15 + 0.85) * 0.4,
        IF(G16&lt;=24,
            (((19 - 14) / (6 ^ 1.5) * 0.15 + 0.85) * 0.4) +
            ((G16 - 19) / (6 ^ 1.5) * 0.15 * 0.1) * 0.4,
            IF(G16&lt;=24,
                (
                    (
                        ((19 - 14) / (6 ^ 1.5) * 0.15 + 0.85) +
                        (5 / (6 ^ 1.5) * 0.15 * 0.1)
                    ) * 0.4
                ) * (1 - ((G16 - 24) / 5)),
                0
            )
        )
    )
)</f>
        <v>0.35755467648994615</v>
      </c>
      <c r="I16" s="22">
        <v>0.59</v>
      </c>
      <c r="J16" s="22">
        <v>0.35499999999999998</v>
      </c>
      <c r="K16" s="24">
        <f>IF(I16&gt;=(J16*1.2),(((((I16/0.5325)^2)*0.25)+(((I16/J16)^2)*0.75))*(0.25))*(0.15),0)</f>
        <v>8.919443893407393E-2</v>
      </c>
      <c r="L16" s="4">
        <v>1121</v>
      </c>
      <c r="M16" s="4">
        <f>(D16*(L16^2))/450437</f>
        <v>345.93846420254107</v>
      </c>
      <c r="N16" s="24">
        <f>(((M16/100)/2)*0.1)</f>
        <v>0.17296923210127055</v>
      </c>
      <c r="O16" s="4">
        <v>18</v>
      </c>
      <c r="P16" s="4">
        <v>17</v>
      </c>
      <c r="Q16" s="24">
        <f>((O16/15)*0.4)+(((P16*0.1)*0.25)/15)*0.4</f>
        <v>0.49133333333333329</v>
      </c>
      <c r="R16" s="4">
        <f>M16*O16</f>
        <v>6226.8923556457394</v>
      </c>
    </row>
    <row r="17" spans="1:18" x14ac:dyDescent="0.25">
      <c r="A17" t="s">
        <v>37</v>
      </c>
      <c r="B17" t="s">
        <v>166</v>
      </c>
      <c r="C17" s="2">
        <f>(IF(AND(G17&gt;=13.5,G17&lt;24,I17&gt;=(J17*1.2),E17/D17&gt;=0.85),
(N17
+H17
+K17
+Q17
+F17)*100,
(0.75*(N17
+H17
+K17
+Q17
+F17)*100)))</f>
        <v>128.63377017616935</v>
      </c>
      <c r="D17" s="4">
        <v>147</v>
      </c>
      <c r="E17" s="4">
        <v>147</v>
      </c>
      <c r="F17" s="24">
        <f>IF(E17/D17&gt;=(D17*0.85),(E17/D17)*0.15,((E17/D17)/0.85)*0.15)</f>
        <v>0.17647058823529413</v>
      </c>
      <c r="G17" s="3">
        <v>19.2</v>
      </c>
      <c r="H17" s="24">
        <f>IF(G17&lt;12,
    0,
    IF(G17&lt;=19,
        ((G17 - 14) / (6 ^ 1.5) * 0.15 + 0.85) * 0.4,
        IF(G17&lt;=24,
            (((19 - 14) / (6 ^ 1.5) * 0.15 + 0.85) * 0.4) +
            ((G17 - 19) / (6 ^ 1.5) * 0.15 * 0.1) * 0.4,
            IF(G17&lt;=24,
                (
                    (
                        ((19 - 14) / (6 ^ 1.5) * 0.15 + 0.85) +
                        (5 / (6 ^ 1.5) * 0.15 * 0.1)
                    ) * 0.4
                ) * (1 - ((G17 - 24) / 5)),
                0
            )
        )
    )
)</f>
        <v>0.36049406418128593</v>
      </c>
      <c r="I17" s="22">
        <v>0.6</v>
      </c>
      <c r="J17" s="22">
        <v>0.35499999999999998</v>
      </c>
      <c r="K17" s="24">
        <f>IF(I17&gt;=(J17*1.2),(((((I17/0.5325)^2)*0.25)+(((I17/J17)^2)*0.75))*(0.25))*(0.15),0)</f>
        <v>9.2243602459829405E-2</v>
      </c>
      <c r="L17" s="4">
        <v>1008</v>
      </c>
      <c r="M17" s="4">
        <f>(D17*(L17^2))/450437</f>
        <v>331.59222710390134</v>
      </c>
      <c r="N17" s="24">
        <f>(((M17/100)/2)*0.1)</f>
        <v>0.16579611355195067</v>
      </c>
      <c r="O17" s="4">
        <v>18</v>
      </c>
      <c r="P17" s="4">
        <v>17</v>
      </c>
      <c r="Q17" s="24">
        <f>((O17/15)*0.4)+(((P17*0.1)*0.25)/15)*0.4</f>
        <v>0.49133333333333329</v>
      </c>
      <c r="R17" s="4">
        <f>M17*O17</f>
        <v>5968.6600878702238</v>
      </c>
    </row>
    <row r="18" spans="1:18" x14ac:dyDescent="0.25">
      <c r="A18" t="s">
        <v>39</v>
      </c>
      <c r="B18" t="s">
        <v>166</v>
      </c>
      <c r="C18" s="2">
        <f>(IF(AND(G18&gt;=13.5,G18&lt;24,I18&gt;=(J18*1.2),E18/D18&gt;=0.85),
(N18
+H18
+K18
+Q18
+F18)*100,
(0.75*(N18
+H18
+K18
+Q18
+F18)*100)))</f>
        <v>128.17392783339875</v>
      </c>
      <c r="D18" s="4">
        <v>150</v>
      </c>
      <c r="E18" s="4">
        <v>150</v>
      </c>
      <c r="F18" s="24">
        <f>IF(E18/D18&gt;=(D18*0.85),(E18/D18)*0.15,((E18/D18)/0.85)*0.15)</f>
        <v>0.17647058823529413</v>
      </c>
      <c r="G18" s="3">
        <v>17.3</v>
      </c>
      <c r="H18" s="24">
        <f>IF(G18&lt;12,
    0,
    IF(G18&lt;=19,
        ((G18 - 14) / (6 ^ 1.5) * 0.15 + 0.85) * 0.4,
        IF(G18&lt;=24,
            (((19 - 14) / (6 ^ 1.5) * 0.15 + 0.85) * 0.4) +
            ((G18 - 19) / (6 ^ 1.5) * 0.15 * 0.1) * 0.4,
            IF(G18&lt;=24,
                (
                    (
                        ((19 - 14) / (6 ^ 1.5) * 0.15 + 0.85) +
                        (5 / (6 ^ 1.5) * 0.15 * 0.1)
                    ) * 0.4
                ) * (1 - ((G18 - 24) / 5)),
                0
            )
        )
    )
)</f>
        <v>0.35347219358530751</v>
      </c>
      <c r="I18" s="22">
        <v>0.71</v>
      </c>
      <c r="J18" s="22">
        <v>0.35499999999999998</v>
      </c>
      <c r="K18" s="24">
        <f>IF(I18&gt;=(J18*1.2),(((((I18/0.5325)^2)*0.25)+(((I18/J18)^2)*0.75))*(0.25))*(0.15),0)</f>
        <v>0.12916666666666668</v>
      </c>
      <c r="L18" s="4">
        <v>888</v>
      </c>
      <c r="M18" s="4">
        <f>(D18*(L18^2))/450437</f>
        <v>262.59299302677181</v>
      </c>
      <c r="N18" s="24">
        <f>(((M18/100)/2)*0.1)</f>
        <v>0.1312964965133859</v>
      </c>
      <c r="O18" s="4">
        <v>18</v>
      </c>
      <c r="P18" s="4">
        <v>17</v>
      </c>
      <c r="Q18" s="24">
        <f>((O18/15)*0.4)+(((P18*0.1)*0.25)/15)*0.4</f>
        <v>0.49133333333333329</v>
      </c>
      <c r="R18" s="4">
        <f>M18*O18</f>
        <v>4726.6738744818922</v>
      </c>
    </row>
    <row r="19" spans="1:18" x14ac:dyDescent="0.25">
      <c r="A19" t="s">
        <v>103</v>
      </c>
      <c r="B19" t="s">
        <v>167</v>
      </c>
      <c r="C19" s="2">
        <f>(IF(AND(G19&gt;=13.5,G19&lt;24,I19&gt;=(J19*1.2),E19/D19&gt;=0.85),
(N19
+H19
+K19
+Q19
+F19)*100,
(0.75*(N19
+H19
+K19
+Q19
+F19)*100)))</f>
        <v>128.03207799398422</v>
      </c>
      <c r="D19" s="4">
        <v>180</v>
      </c>
      <c r="E19" s="4">
        <v>180</v>
      </c>
      <c r="F19" s="24">
        <f>IF(E19/D19&gt;=(D19*0.85),(E19/D19)*0.15,((E19/D19)/0.85)*0.15)</f>
        <v>0.17647058823529413</v>
      </c>
      <c r="G19" s="3">
        <v>15.5</v>
      </c>
      <c r="H19" s="24">
        <f>IF(G19&lt;12,
    0,
    IF(G19&lt;=19,
        ((G19 - 14) / (6 ^ 1.5) * 0.15 + 0.85) * 0.4,
        IF(G19&lt;=24,
            (((19 - 14) / (6 ^ 1.5) * 0.15 + 0.85) * 0.4) +
            ((G19 - 19) / (6 ^ 1.5) * 0.15 * 0.1) * 0.4,
            IF(G19&lt;=24,
                (
                    (
                        ((19 - 14) / (6 ^ 1.5) * 0.15 + 0.85) +
                        (5 / (6 ^ 1.5) * 0.15 * 0.1)
                    ) * 0.4
                ) * (1 - ((G19 - 24) / 5)),
                0
            )
        )
    )
)</f>
        <v>0.34612372435695793</v>
      </c>
      <c r="I19" s="22">
        <v>0.79</v>
      </c>
      <c r="J19" s="22">
        <v>0.4</v>
      </c>
      <c r="K19" s="24">
        <f>IF(I19&gt;=(J19*1.2),(((((I19/0.5325)^2)*0.25)+(((I19/J19)^2)*0.75))*(0.25))*(0.15),0)</f>
        <v>0.13033921156413245</v>
      </c>
      <c r="L19" s="4">
        <v>977</v>
      </c>
      <c r="M19" s="4">
        <f>(D19*(L19^2))/450437</f>
        <v>381.44117823358204</v>
      </c>
      <c r="N19" s="24">
        <f>(((M19/100)/2)*0.1)</f>
        <v>0.19072058911679102</v>
      </c>
      <c r="O19" s="4">
        <v>16</v>
      </c>
      <c r="P19" s="4">
        <v>15</v>
      </c>
      <c r="Q19" s="24">
        <f>((O19/15)*0.4)+(((P19*0.1)*0.25)/15)*0.4</f>
        <v>0.4366666666666667</v>
      </c>
      <c r="R19" s="4">
        <f>M19*O19</f>
        <v>6103.0588517373126</v>
      </c>
    </row>
    <row r="20" spans="1:18" x14ac:dyDescent="0.25">
      <c r="A20" t="s">
        <v>62</v>
      </c>
      <c r="B20" t="s">
        <v>166</v>
      </c>
      <c r="C20" s="2">
        <f>(IF(AND(G20&gt;=13.5,G20&lt;24,I20&gt;=(J20*1.2),E20/D20&gt;=0.85),
(N20
+H20
+K20
+Q20
+F20)*100,
(0.75*(N20
+H20
+K20
+Q20
+F20)*100)))</f>
        <v>127.95513941148462</v>
      </c>
      <c r="D20" s="4">
        <v>147</v>
      </c>
      <c r="E20" s="4">
        <v>147</v>
      </c>
      <c r="F20" s="24">
        <f>IF(E20/D20&gt;=(D20*0.85),(E20/D20)*0.15,((E20/D20)/0.85)*0.15)</f>
        <v>0.17647058823529413</v>
      </c>
      <c r="G20" s="3">
        <v>16.399999999999999</v>
      </c>
      <c r="H20" s="24">
        <f>IF(G20&lt;12,
    0,
    IF(G20&lt;=19,
        ((G20 - 14) / (6 ^ 1.5) * 0.15 + 0.85) * 0.4,
        IF(G20&lt;=24,
            (((19 - 14) / (6 ^ 1.5) * 0.15 + 0.85) * 0.4) +
            ((G20 - 19) / (6 ^ 1.5) * 0.15 * 0.1) * 0.4,
            IF(G20&lt;=24,
                (
                    (
                        ((19 - 14) / (6 ^ 1.5) * 0.15 + 0.85) +
                        (5 / (6 ^ 1.5) * 0.15 * 0.1)
                    ) * 0.4
                ) * (1 - ((G20 - 24) / 5)),
                0
            )
        )
    )
)</f>
        <v>0.34979795897113269</v>
      </c>
      <c r="I20" s="22">
        <v>0.63</v>
      </c>
      <c r="J20" s="22">
        <v>0.35499999999999998</v>
      </c>
      <c r="K20" s="24">
        <f>IF(I20&gt;=(J20*1.2),(((((I20/0.5325)^2)*0.25)+(((I20/J20)^2)*0.75))*(0.25))*(0.15),0)</f>
        <v>0.10169857171196191</v>
      </c>
      <c r="L20" s="4">
        <v>991</v>
      </c>
      <c r="M20" s="4">
        <f>(D20*(L20^2))/450437</f>
        <v>320.50188372624808</v>
      </c>
      <c r="N20" s="24">
        <f>(((M20/100)/2)*0.1)</f>
        <v>0.16025094186312405</v>
      </c>
      <c r="O20" s="4">
        <v>18</v>
      </c>
      <c r="P20" s="4">
        <v>17</v>
      </c>
      <c r="Q20" s="24">
        <f>((O20/15)*0.4)+(((P20*0.1)*0.25)/15)*0.4</f>
        <v>0.49133333333333329</v>
      </c>
      <c r="R20" s="4">
        <f>M20*O20</f>
        <v>5769.0339070724658</v>
      </c>
    </row>
    <row r="21" spans="1:18" x14ac:dyDescent="0.25">
      <c r="A21" t="s">
        <v>119</v>
      </c>
      <c r="B21" t="s">
        <v>168</v>
      </c>
      <c r="C21" s="2">
        <f>(IF(AND(G21&gt;=13.5,G21&lt;24,I21&gt;=(J21*1.2),E21/D21&gt;=0.85),
(N21
+H21
+K21
+Q21
+F21)*100,
(0.75*(N21
+H21
+K21
+Q21
+F21)*100)))</f>
        <v>127.8252417782203</v>
      </c>
      <c r="D21" s="4">
        <v>147</v>
      </c>
      <c r="E21" s="4">
        <v>147</v>
      </c>
      <c r="F21" s="24">
        <f>IF(E21/D21&gt;=(D21*0.85),(E21/D21)*0.15,((E21/D21)/0.85)*0.15)</f>
        <v>0.17647058823529413</v>
      </c>
      <c r="G21" s="3">
        <v>23.9</v>
      </c>
      <c r="H21" s="24">
        <f>IF(G21&lt;12,
    0,
    IF(G21&lt;=19,
        ((G21 - 14) / (6 ^ 1.5) * 0.15 + 0.85) * 0.4,
        IF(G21&lt;=24,
            (((19 - 14) / (6 ^ 1.5) * 0.15 + 0.85) * 0.4) +
            ((G21 - 19) / (6 ^ 1.5) * 0.15 * 0.1) * 0.4,
            IF(G21&lt;=24,
                (
                    (
                        ((19 - 14) / (6 ^ 1.5) * 0.15 + 0.85) +
                        (5 / (6 ^ 1.5) * 0.15 * 0.1)
                    ) * 0.4
                ) * (1 - ((G21 - 24) / 5)),
                0
            )
        )
    )
)</f>
        <v>0.36241283114646611</v>
      </c>
      <c r="I21" s="22">
        <v>0.48</v>
      </c>
      <c r="J21" s="22">
        <v>0.35499999999999998</v>
      </c>
      <c r="K21" s="24">
        <f>IF(I21&gt;=(J21*1.2),(((((I21/0.5325)^2)*0.25)+(((I21/J21)^2)*0.75))*(0.25))*(0.15),0)</f>
        <v>5.9035905574290809E-2</v>
      </c>
      <c r="L21" s="4">
        <v>1222</v>
      </c>
      <c r="M21" s="4">
        <f>(D21*(L21^2))/450437</f>
        <v>487.33285231897025</v>
      </c>
      <c r="N21" s="24">
        <f>(((M21/100)/2)*0.1)</f>
        <v>0.24366642615948511</v>
      </c>
      <c r="O21" s="4">
        <v>16</v>
      </c>
      <c r="P21" s="4">
        <v>15</v>
      </c>
      <c r="Q21" s="24">
        <f>((O21/15)*0.4)+(((P21*0.1)*0.25)/15)*0.4</f>
        <v>0.4366666666666667</v>
      </c>
      <c r="R21" s="4">
        <f>M21*O21</f>
        <v>7797.3256371035241</v>
      </c>
    </row>
    <row r="22" spans="1:18" x14ac:dyDescent="0.25">
      <c r="A22" t="s">
        <v>111</v>
      </c>
      <c r="B22" t="s">
        <v>167</v>
      </c>
      <c r="C22" s="2">
        <f>(IF(AND(G22&gt;=13.5,G22&lt;24,I22&gt;=(J22*1.2),E22/D22&gt;=0.85),
(N22
+H22
+K22
+Q22
+F22)*100,
(0.75*(N22
+H22
+K22
+Q22
+F22)*100)))</f>
        <v>127.8202833425228</v>
      </c>
      <c r="D22" s="4">
        <v>165</v>
      </c>
      <c r="E22" s="4">
        <v>165</v>
      </c>
      <c r="F22" s="24">
        <f>IF(E22/D22&gt;=(D22*0.85),(E22/D22)*0.15,((E22/D22)/0.85)*0.15)</f>
        <v>0.17647058823529413</v>
      </c>
      <c r="G22" s="3">
        <v>21</v>
      </c>
      <c r="H22" s="24">
        <f>IF(G22&lt;12,
    0,
    IF(G22&lt;=19,
        ((G22 - 14) / (6 ^ 1.5) * 0.15 + 0.85) * 0.4,
        IF(G22&lt;=24,
            (((19 - 14) / (6 ^ 1.5) * 0.15 + 0.85) * 0.4) +
            ((G22 - 19) / (6 ^ 1.5) * 0.15 * 0.1) * 0.4,
            IF(G22&lt;=24,
                (
                    (
                        ((19 - 14) / (6 ^ 1.5) * 0.15 + 0.85) +
                        (5 / (6 ^ 1.5) * 0.15 * 0.1)
                    ) * 0.4
                ) * (1 - ((G22 - 24) / 5)),
                0
            )
        )
    )
)</f>
        <v>0.36122891110412092</v>
      </c>
      <c r="I22" s="22">
        <v>0.67</v>
      </c>
      <c r="J22" s="22">
        <v>0.4</v>
      </c>
      <c r="K22" s="24">
        <f>IF(I22&gt;=(J22*1.2),(((((I22/0.5325)^2)*0.25)+(((I22/J22)^2)*0.75))*(0.25))*(0.15),0)</f>
        <v>9.374983507633243E-2</v>
      </c>
      <c r="L22" s="4">
        <v>1071</v>
      </c>
      <c r="M22" s="4">
        <f>(D22*(L22^2))/450437</f>
        <v>420.1736646856275</v>
      </c>
      <c r="N22" s="24">
        <f>(((M22/100)/2)*0.1)</f>
        <v>0.21008683234281375</v>
      </c>
      <c r="O22" s="4">
        <v>16</v>
      </c>
      <c r="P22" s="4">
        <v>15</v>
      </c>
      <c r="Q22" s="24">
        <f>((O22/15)*0.4)+(((P22*0.1)*0.25)/15)*0.4</f>
        <v>0.4366666666666667</v>
      </c>
      <c r="R22" s="4">
        <f>M22*O22</f>
        <v>6722.77863497004</v>
      </c>
    </row>
    <row r="23" spans="1:18" x14ac:dyDescent="0.25">
      <c r="A23" t="s">
        <v>109</v>
      </c>
      <c r="B23" t="s">
        <v>167</v>
      </c>
      <c r="C23" s="2">
        <f>(IF(AND(G23&gt;=13.5,G23&lt;24,I23&gt;=(J23*1.2),E23/D23&gt;=0.85),
(N23
+H23
+K23
+Q23
+F23)*100,
(0.75*(N23
+H23
+K23
+Q23
+F23)*100)))</f>
        <v>127.80792466727399</v>
      </c>
      <c r="D23" s="4">
        <v>165</v>
      </c>
      <c r="E23" s="4">
        <v>165</v>
      </c>
      <c r="F23" s="24">
        <f>IF(E23/D23&gt;=(D23*0.85),(E23/D23)*0.15,((E23/D23)/0.85)*0.15)</f>
        <v>0.17647058823529413</v>
      </c>
      <c r="G23" s="3">
        <v>14.6</v>
      </c>
      <c r="H23" s="24">
        <f>IF(G23&lt;12,
    0,
    IF(G23&lt;=19,
        ((G23 - 14) / (6 ^ 1.5) * 0.15 + 0.85) * 0.4,
        IF(G23&lt;=24,
            (((19 - 14) / (6 ^ 1.5) * 0.15 + 0.85) * 0.4) +
            ((G23 - 19) / (6 ^ 1.5) * 0.15 * 0.1) * 0.4,
            IF(G23&lt;=24,
                (
                    (
                        ((19 - 14) / (6 ^ 1.5) * 0.15 + 0.85) +
                        (5 / (6 ^ 1.5) * 0.15 * 0.1)
                    ) * 0.4
                ) * (1 - ((G23 - 24) / 5)),
                0
            )
        )
    )
)</f>
        <v>0.34244948974278322</v>
      </c>
      <c r="I23" s="22">
        <v>0.74</v>
      </c>
      <c r="J23" s="22">
        <v>0.4</v>
      </c>
      <c r="K23" s="24">
        <f>IF(I23&gt;=(J23*1.2),(((((I23/0.5325)^2)*0.25)+(((I23/J23)^2)*0.75))*(0.25))*(0.15),0)</f>
        <v>0.11436268587168549</v>
      </c>
      <c r="L23" s="4">
        <v>1066</v>
      </c>
      <c r="M23" s="4">
        <f>(D23*(L23^2))/450437</f>
        <v>416.25963231262085</v>
      </c>
      <c r="N23" s="24">
        <f>(((M23/100)/2)*0.1)</f>
        <v>0.20812981615631043</v>
      </c>
      <c r="O23" s="4">
        <v>16</v>
      </c>
      <c r="P23" s="4">
        <v>15</v>
      </c>
      <c r="Q23" s="24">
        <f>((O23/15)*0.4)+(((P23*0.1)*0.25)/15)*0.4</f>
        <v>0.4366666666666667</v>
      </c>
      <c r="R23" s="4">
        <f>M23*O23</f>
        <v>6660.1541170019336</v>
      </c>
    </row>
    <row r="24" spans="1:18" x14ac:dyDescent="0.25">
      <c r="A24" t="s">
        <v>157</v>
      </c>
      <c r="B24" t="s">
        <v>169</v>
      </c>
      <c r="C24" s="2">
        <f>(IF(AND(G24&gt;=13.5,G24&lt;24,I24&gt;=(J24*1.2),E24/D24&gt;=0.85),
(N24
+H24
+K24
+Q24
+F24)*100,
(0.75*(N24
+H24
+K24
+Q24
+F24)*100)))</f>
        <v>127.80357307516613</v>
      </c>
      <c r="D24" s="4">
        <v>230</v>
      </c>
      <c r="E24" s="4">
        <v>230</v>
      </c>
      <c r="F24" s="24">
        <f>IF(E24/D24&gt;=(D24*0.85),(E24/D24)*0.15,((E24/D24)/0.85)*0.15)</f>
        <v>0.17647058823529413</v>
      </c>
      <c r="G24" s="3">
        <v>14.5</v>
      </c>
      <c r="H24" s="24">
        <f>IF(G24&lt;12,
    0,
    IF(G24&lt;=19,
        ((G24 - 14) / (6 ^ 1.5) * 0.15 + 0.85) * 0.4,
        IF(G24&lt;=24,
            (((19 - 14) / (6 ^ 1.5) * 0.15 + 0.85) * 0.4) +
            ((G24 - 19) / (6 ^ 1.5) * 0.15 * 0.1) * 0.4,
            IF(G24&lt;=24,
                (
                    (
                        ((19 - 14) / (6 ^ 1.5) * 0.15 + 0.85) +
                        (5 / (6 ^ 1.5) * 0.15 * 0.1)
                    ) * 0.4
                ) * (1 - ((G24 - 24) / 5)),
                0
            )
        )
    )
)</f>
        <v>0.34204124145231929</v>
      </c>
      <c r="I24" s="22">
        <v>1</v>
      </c>
      <c r="J24" s="22">
        <v>0.45200000000000001</v>
      </c>
      <c r="K24" s="24">
        <f>IF(I24&gt;=(J24*1.2),(((((I24/0.5325)^2)*0.25)+(((I24/J24)^2)*0.75))*(0.25))*(0.15),0)</f>
        <v>0.17072472604068153</v>
      </c>
      <c r="L24" s="4">
        <v>900</v>
      </c>
      <c r="M24" s="4">
        <f>(D24*(L24^2))/450437</f>
        <v>413.59835004673238</v>
      </c>
      <c r="N24" s="24">
        <f>(((M24/100)/2)*0.1)</f>
        <v>0.2067991750233662</v>
      </c>
      <c r="O24" s="4">
        <v>14</v>
      </c>
      <c r="P24" s="4">
        <v>13</v>
      </c>
      <c r="Q24" s="24">
        <f>((O24/15)*0.4)+(((P24*0.1)*0.25)/15)*0.4</f>
        <v>0.38200000000000001</v>
      </c>
      <c r="R24" s="4">
        <f>M24*O24</f>
        <v>5790.3769006542534</v>
      </c>
    </row>
    <row r="25" spans="1:18" x14ac:dyDescent="0.25">
      <c r="A25" t="s">
        <v>71</v>
      </c>
      <c r="B25" t="s">
        <v>166</v>
      </c>
      <c r="C25" s="2">
        <f>(IF(AND(G25&gt;=13.5,G25&lt;24,I25&gt;=(J25*1.2),E25/D25&gt;=0.85),
(N25
+H25
+K25
+Q25
+F25)*100,
(0.75*(N25
+H25
+K25
+Q25
+F25)*100)))</f>
        <v>127.72569729459182</v>
      </c>
      <c r="D25" s="4">
        <v>124</v>
      </c>
      <c r="E25" s="4">
        <v>124</v>
      </c>
      <c r="F25" s="24">
        <f>IF(E25/D25&gt;=(D25*0.85),(E25/D25)*0.15,((E25/D25)/0.85)*0.15)</f>
        <v>0.17647058823529413</v>
      </c>
      <c r="G25" s="3">
        <v>19.600000000000001</v>
      </c>
      <c r="H25" s="24">
        <f>IF(G25&lt;12,
    0,
    IF(G25&lt;=19,
        ((G25 - 14) / (6 ^ 1.5) * 0.15 + 0.85) * 0.4,
        IF(G25&lt;=24,
            (((19 - 14) / (6 ^ 1.5) * 0.15 + 0.85) * 0.4) +
            ((G25 - 19) / (6 ^ 1.5) * 0.15 * 0.1) * 0.4,
            IF(G25&lt;=24,
                (
                    (
                        ((19 - 14) / (6 ^ 1.5) * 0.15 + 0.85) +
                        (5 / (6 ^ 1.5) * 0.15 * 0.1)
                    ) * 0.4
                ) * (1 - ((G25 - 24) / 5)),
                0
            )
        )
    )
)</f>
        <v>0.36065736349747146</v>
      </c>
      <c r="I25" s="22">
        <v>0.52</v>
      </c>
      <c r="J25" s="22">
        <v>0.35499999999999998</v>
      </c>
      <c r="K25" s="24">
        <f>IF(I25&gt;=(J25*1.2),(((((I25/0.5325)^2)*0.25)+(((I25/J25)^2)*0.75))*(0.25))*(0.15),0)</f>
        <v>6.9285194736494096E-2</v>
      </c>
      <c r="L25" s="4">
        <v>1142</v>
      </c>
      <c r="M25" s="4">
        <f>(D25*(L25^2))/450437</f>
        <v>359.0209862866505</v>
      </c>
      <c r="N25" s="24">
        <f>(((M25/100)/2)*0.1)</f>
        <v>0.17951049314332526</v>
      </c>
      <c r="O25" s="4">
        <v>18</v>
      </c>
      <c r="P25" s="4">
        <v>17</v>
      </c>
      <c r="Q25" s="24">
        <f>((O25/15)*0.4)+(((P25*0.1)*0.25)/15)*0.4</f>
        <v>0.49133333333333329</v>
      </c>
      <c r="R25" s="4">
        <f>M25*O25</f>
        <v>6462.3777531597088</v>
      </c>
    </row>
    <row r="26" spans="1:18" x14ac:dyDescent="0.25">
      <c r="A26" t="s">
        <v>27</v>
      </c>
      <c r="B26" t="s">
        <v>166</v>
      </c>
      <c r="C26" s="2">
        <f>(IF(AND(G26&gt;=13.5,G26&lt;24,I26&gt;=(J26*1.2),E26/D26&gt;=0.85),
(N26
+H26
+K26
+Q26
+F26)*100,
(0.75*(N26
+H26
+K26
+Q26
+F26)*100)))</f>
        <v>127.68368917909211</v>
      </c>
      <c r="D26" s="4">
        <v>115</v>
      </c>
      <c r="E26" s="4">
        <v>115</v>
      </c>
      <c r="F26" s="24">
        <f>IF(E26/D26&gt;=(D26*0.85),(E26/D26)*0.15,((E26/D26)/0.85)*0.15)</f>
        <v>0.17647058823529413</v>
      </c>
      <c r="G26" s="3">
        <v>13.6</v>
      </c>
      <c r="H26" s="24">
        <f>IF(G26&lt;12,
    0,
    IF(G26&lt;=19,
        ((G26 - 14) / (6 ^ 1.5) * 0.15 + 0.85) * 0.4,
        IF(G26&lt;=24,
            (((19 - 14) / (6 ^ 1.5) * 0.15 + 0.85) * 0.4) +
            ((G26 - 19) / (6 ^ 1.5) * 0.15 * 0.1) * 0.4,
            IF(G26&lt;=24,
                (
                    (
                        ((19 - 14) / (6 ^ 1.5) * 0.15 + 0.85) +
                        (5 / (6 ^ 1.5) * 0.15 * 0.1)
                    ) * 0.4
                ) * (1 - ((G26 - 24) / 5)),
                0
            )
        )
    )
)</f>
        <v>0.33836700683814458</v>
      </c>
      <c r="I26" s="22">
        <v>0.56000000000000005</v>
      </c>
      <c r="J26" s="22">
        <v>0.35499999999999998</v>
      </c>
      <c r="K26" s="24">
        <f>IF(I26&gt;=(J26*1.2),(((((I26/0.5325)^2)*0.25)+(((I26/J26)^2)*0.75))*(0.25))*(0.15),0)</f>
        <v>8.0354427031673628E-2</v>
      </c>
      <c r="L26" s="4">
        <v>1221</v>
      </c>
      <c r="M26" s="4">
        <f>(D26*(L26^2))/450437</f>
        <v>380.62307270495097</v>
      </c>
      <c r="N26" s="24">
        <f>(((M26/100)/2)*0.1)</f>
        <v>0.1903115363524755</v>
      </c>
      <c r="O26" s="4">
        <v>18</v>
      </c>
      <c r="P26" s="4">
        <v>17</v>
      </c>
      <c r="Q26" s="24">
        <f>((O26/15)*0.4)+(((P26*0.1)*0.25)/15)*0.4</f>
        <v>0.49133333333333329</v>
      </c>
      <c r="R26" s="4">
        <f>M26*O26</f>
        <v>6851.2153086891176</v>
      </c>
    </row>
    <row r="27" spans="1:18" x14ac:dyDescent="0.25">
      <c r="A27" t="s">
        <v>68</v>
      </c>
      <c r="B27" t="s">
        <v>166</v>
      </c>
      <c r="C27" s="2">
        <f>(IF(AND(G27&gt;=13.5,G27&lt;24,I27&gt;=(J27*1.2),E27/D27&gt;=0.85),
(N27
+H27
+K27
+Q27
+F27)*100,
(0.75*(N27
+H27
+K27
+Q27
+F27)*100)))</f>
        <v>127.6810267032823</v>
      </c>
      <c r="D27" s="4">
        <v>124</v>
      </c>
      <c r="E27" s="4">
        <v>124</v>
      </c>
      <c r="F27" s="24">
        <f>IF(E27/D27&gt;=(D27*0.85),(E27/D27)*0.15,((E27/D27)/0.85)*0.15)</f>
        <v>0.17647058823529413</v>
      </c>
      <c r="G27" s="3">
        <v>18.2</v>
      </c>
      <c r="H27" s="24">
        <f>IF(G27&lt;12,
    0,
    IF(G27&lt;=19,
        ((G27 - 14) / (6 ^ 1.5) * 0.15 + 0.85) * 0.4,
        IF(G27&lt;=24,
            (((19 - 14) / (6 ^ 1.5) * 0.15 + 0.85) * 0.4) +
            ((G27 - 19) / (6 ^ 1.5) * 0.15 * 0.1) * 0.4,
            IF(G27&lt;=24,
                (
                    (
                        ((19 - 14) / (6 ^ 1.5) * 0.15 + 0.85) +
                        (5 / (6 ^ 1.5) * 0.15 * 0.1)
                    ) * 0.4
                ) * (1 - ((G27 - 24) / 5)),
                0
            )
        )
    )
)</f>
        <v>0.35714642819948228</v>
      </c>
      <c r="I27" s="22">
        <v>0.51</v>
      </c>
      <c r="J27" s="22">
        <v>0.35499999999999998</v>
      </c>
      <c r="K27" s="24">
        <f>IF(I27&gt;=(J27*1.2),(((((I27/0.5325)^2)*0.25)+(((I27/J27)^2)*0.75))*(0.25))*(0.15),0)</f>
        <v>6.6646002777226737E-2</v>
      </c>
      <c r="L27" s="4">
        <v>1160</v>
      </c>
      <c r="M27" s="4">
        <f>(D27*(L27^2))/450437</f>
        <v>370.42782897497318</v>
      </c>
      <c r="N27" s="24">
        <f>(((M27/100)/2)*0.1)</f>
        <v>0.18521391448748659</v>
      </c>
      <c r="O27" s="4">
        <v>18</v>
      </c>
      <c r="P27" s="4">
        <v>17</v>
      </c>
      <c r="Q27" s="24">
        <f>((O27/15)*0.4)+(((P27*0.1)*0.25)/15)*0.4</f>
        <v>0.49133333333333329</v>
      </c>
      <c r="R27" s="4">
        <f>M27*O27</f>
        <v>6667.7009215495173</v>
      </c>
    </row>
    <row r="28" spans="1:18" x14ac:dyDescent="0.25">
      <c r="A28" t="s">
        <v>158</v>
      </c>
      <c r="B28" t="s">
        <v>169</v>
      </c>
      <c r="C28" s="2">
        <f>(IF(AND(G28&gt;=13.5,G28&lt;24,I28&gt;=(J28*1.2),E28/D28&gt;=0.85),
(N28
+H28
+K28
+Q28
+F28)*100,
(0.75*(N28
+H28
+K28
+Q28
+F28)*100)))</f>
        <v>127.6480608514524</v>
      </c>
      <c r="D28" s="4">
        <v>230</v>
      </c>
      <c r="E28" s="4">
        <v>230</v>
      </c>
      <c r="F28" s="24">
        <f>IF(E28/D28&gt;=(D28*0.85),(E28/D28)*0.15,((E28/D28)/0.85)*0.15)</f>
        <v>0.17647058823529413</v>
      </c>
      <c r="G28" s="3">
        <v>14.5</v>
      </c>
      <c r="H28" s="24">
        <f>IF(G28&lt;12,
    0,
    IF(G28&lt;=19,
        ((G28 - 14) / (6 ^ 1.5) * 0.15 + 0.85) * 0.4,
        IF(G28&lt;=24,
            (((19 - 14) / (6 ^ 1.5) * 0.15 + 0.85) * 0.4) +
            ((G28 - 19) / (6 ^ 1.5) * 0.15 * 0.1) * 0.4,
            IF(G28&lt;=24,
                (
                    (
                        ((19 - 14) / (6 ^ 1.5) * 0.15 + 0.85) +
                        (5 / (6 ^ 1.5) * 0.15 * 0.1)
                    ) * 0.4
                ) * (1 - ((G28 - 24) / 5)),
                0
            )
        )
    )
)</f>
        <v>0.34204124145231929</v>
      </c>
      <c r="I28" s="22">
        <v>0.99</v>
      </c>
      <c r="J28" s="22">
        <v>0.45200000000000001</v>
      </c>
      <c r="K28" s="24">
        <f>IF(I28&gt;=(J28*1.2),(((((I28/0.5325)^2)*0.25)+(((I28/J28)^2)*0.75))*(0.25))*(0.15),0)</f>
        <v>0.16732730399247195</v>
      </c>
      <c r="L28" s="4">
        <v>904</v>
      </c>
      <c r="M28" s="4">
        <f>(D28*(L28^2))/450437</f>
        <v>417.28294966887711</v>
      </c>
      <c r="N28" s="24">
        <f>(((M28/100)/2)*0.1)</f>
        <v>0.20864147483443857</v>
      </c>
      <c r="O28" s="4">
        <v>14</v>
      </c>
      <c r="P28" s="4">
        <v>13</v>
      </c>
      <c r="Q28" s="24">
        <f>((O28/15)*0.4)+(((P28*0.1)*0.25)/15)*0.4</f>
        <v>0.38200000000000001</v>
      </c>
      <c r="R28" s="4">
        <f>M28*O28</f>
        <v>5841.9612953642791</v>
      </c>
    </row>
    <row r="29" spans="1:18" x14ac:dyDescent="0.25">
      <c r="A29" t="s">
        <v>105</v>
      </c>
      <c r="B29" t="s">
        <v>167</v>
      </c>
      <c r="C29" s="2">
        <f>(IF(AND(G29&gt;=13.5,G29&lt;24,I29&gt;=(J29*1.2),E29/D29&gt;=0.85),
(N29
+H29
+K29
+Q29
+F29)*100,
(0.75*(N29
+H29
+K29
+Q29
+F29)*100)))</f>
        <v>127.0948103194056</v>
      </c>
      <c r="D29" s="4">
        <v>155</v>
      </c>
      <c r="E29" s="4">
        <v>155</v>
      </c>
      <c r="F29" s="24">
        <f>IF(E29/D29&gt;=(D29*0.85),(E29/D29)*0.15,((E29/D29)/0.85)*0.15)</f>
        <v>0.17647058823529413</v>
      </c>
      <c r="G29" s="3">
        <v>16.3</v>
      </c>
      <c r="H29" s="24">
        <f>IF(G29&lt;12,
    0,
    IF(G29&lt;=19,
        ((G29 - 14) / (6 ^ 1.5) * 0.15 + 0.85) * 0.4,
        IF(G29&lt;=24,
            (((19 - 14) / (6 ^ 1.5) * 0.15 + 0.85) * 0.4) +
            ((G29 - 19) / (6 ^ 1.5) * 0.15 * 0.1) * 0.4,
            IF(G29&lt;=24,
                (
                    (
                        ((19 - 14) / (6 ^ 1.5) * 0.15 + 0.85) +
                        (5 / (6 ^ 1.5) * 0.15 * 0.1)
                    ) * 0.4
                ) * (1 - ((G29 - 24) / 5)),
                0
            )
        )
    )
)</f>
        <v>0.34938971068066887</v>
      </c>
      <c r="I29" s="22">
        <v>0.67</v>
      </c>
      <c r="J29" s="22">
        <v>0.4</v>
      </c>
      <c r="K29" s="24">
        <f>IF(I29&gt;=(J29*1.2),(((((I29/0.5325)^2)*0.25)+(((I29/J29)^2)*0.75))*(0.25))*(0.15),0)</f>
        <v>9.374983507633243E-2</v>
      </c>
      <c r="L29" s="4">
        <v>1117</v>
      </c>
      <c r="M29" s="4">
        <f>(D29*(L29^2))/450437</f>
        <v>429.3426050701874</v>
      </c>
      <c r="N29" s="24">
        <f>(((M29/100)/2)*0.1)</f>
        <v>0.2146713025350937</v>
      </c>
      <c r="O29" s="4">
        <v>16</v>
      </c>
      <c r="P29" s="4">
        <v>15</v>
      </c>
      <c r="Q29" s="24">
        <f>((O29/15)*0.4)+(((P29*0.1)*0.25)/15)*0.4</f>
        <v>0.4366666666666667</v>
      </c>
      <c r="R29" s="4">
        <f>M29*O29</f>
        <v>6869.4816811229985</v>
      </c>
    </row>
    <row r="30" spans="1:18" x14ac:dyDescent="0.25">
      <c r="A30" t="s">
        <v>57</v>
      </c>
      <c r="B30" t="s">
        <v>166</v>
      </c>
      <c r="C30" s="2">
        <f>(IF(AND(G30&gt;=13.5,G30&lt;24,I30&gt;=(J30*1.2),E30/D30&gt;=0.85),
(N30
+H30
+K30
+Q30
+F30)*100,
(0.75*(N30
+H30
+K30
+Q30
+F30)*100)))</f>
        <v>126.99288819253971</v>
      </c>
      <c r="D30" s="4">
        <v>115</v>
      </c>
      <c r="E30" s="4">
        <v>115</v>
      </c>
      <c r="F30" s="24">
        <f>IF(E30/D30&gt;=(D30*0.85),(E30/D30)*0.15,((E30/D30)/0.85)*0.15)</f>
        <v>0.17647058823529413</v>
      </c>
      <c r="G30" s="3">
        <v>17.7</v>
      </c>
      <c r="H30" s="24">
        <f>IF(G30&lt;12,
    0,
    IF(G30&lt;=19,
        ((G30 - 14) / (6 ^ 1.5) * 0.15 + 0.85) * 0.4,
        IF(G30&lt;=24,
            (((19 - 14) / (6 ^ 1.5) * 0.15 + 0.85) * 0.4) +
            ((G30 - 19) / (6 ^ 1.5) * 0.15 * 0.1) * 0.4,
            IF(G30&lt;=24,
                (
                    (
                        ((19 - 14) / (6 ^ 1.5) * 0.15 + 0.85) +
                        (5 / (6 ^ 1.5) * 0.15 * 0.1)
                    ) * 0.4
                ) * (1 - ((G30 - 24) / 5)),
                0
            )
        )
    )
)</f>
        <v>0.3551051867471629</v>
      </c>
      <c r="I30" s="22">
        <v>0.53</v>
      </c>
      <c r="J30" s="22">
        <v>0.35499999999999998</v>
      </c>
      <c r="K30" s="24">
        <f>IF(I30&gt;=(J30*1.2),(((((I30/0.5325)^2)*0.25)+(((I30/J30)^2)*0.75))*(0.25))*(0.15),0)</f>
        <v>7.1975633141572445E-2</v>
      </c>
      <c r="L30" s="4">
        <v>1171</v>
      </c>
      <c r="M30" s="4">
        <f>(D30*(L30^2))/450437</f>
        <v>350.08828093606877</v>
      </c>
      <c r="N30" s="24">
        <f>(((M30/100)/2)*0.1)</f>
        <v>0.1750441404680344</v>
      </c>
      <c r="O30" s="4">
        <v>18</v>
      </c>
      <c r="P30" s="4">
        <v>17</v>
      </c>
      <c r="Q30" s="24">
        <f>((O30/15)*0.4)+(((P30*0.1)*0.25)/15)*0.4</f>
        <v>0.49133333333333329</v>
      </c>
      <c r="R30" s="4">
        <f>M30*O30</f>
        <v>6301.5890568492377</v>
      </c>
    </row>
    <row r="31" spans="1:18" x14ac:dyDescent="0.25">
      <c r="A31" t="s">
        <v>49</v>
      </c>
      <c r="B31" t="s">
        <v>166</v>
      </c>
      <c r="C31" s="2">
        <f>(IF(AND(G31&gt;=13.5,G31&lt;24,I31&gt;=(J31*1.2),E31/D31&gt;=0.85),
(N31
+H31
+K31
+Q31
+F31)*100,
(0.75*(N31
+H31
+K31
+Q31
+F31)*100)))</f>
        <v>126.92993719232966</v>
      </c>
      <c r="D31" s="4">
        <v>115</v>
      </c>
      <c r="E31" s="4">
        <v>115</v>
      </c>
      <c r="F31" s="24">
        <f>IF(E31/D31&gt;=(D31*0.85),(E31/D31)*0.15,((E31/D31)/0.85)*0.15)</f>
        <v>0.17647058823529413</v>
      </c>
      <c r="G31" s="3">
        <v>15.2</v>
      </c>
      <c r="H31" s="24">
        <f>IF(G31&lt;12,
    0,
    IF(G31&lt;=19,
        ((G31 - 14) / (6 ^ 1.5) * 0.15 + 0.85) * 0.4,
        IF(G31&lt;=24,
            (((19 - 14) / (6 ^ 1.5) * 0.15 + 0.85) * 0.4) +
            ((G31 - 19) / (6 ^ 1.5) * 0.15 * 0.1) * 0.4,
            IF(G31&lt;=24,
                (
                    (
                        ((19 - 14) / (6 ^ 1.5) * 0.15 + 0.85) +
                        (5 / (6 ^ 1.5) * 0.15 * 0.1)
                    ) * 0.4
                ) * (1 - ((G31 - 24) / 5)),
                0
            )
        )
    )
)</f>
        <v>0.34489897948556636</v>
      </c>
      <c r="I31" s="22">
        <v>0.56000000000000005</v>
      </c>
      <c r="J31" s="22">
        <v>0.35499999999999998</v>
      </c>
      <c r="K31" s="24">
        <f>IF(I31&gt;=(J31*1.2),(((((I31/0.5325)^2)*0.25)+(((I31/J31)^2)*0.75))*(0.25))*(0.15),0)</f>
        <v>8.0354427031673628E-2</v>
      </c>
      <c r="L31" s="4">
        <v>1175</v>
      </c>
      <c r="M31" s="4">
        <f>(D31*(L31^2))/450437</f>
        <v>352.48408767485796</v>
      </c>
      <c r="N31" s="24">
        <f>(((M31/100)/2)*0.1)</f>
        <v>0.176242043837429</v>
      </c>
      <c r="O31" s="4">
        <v>18</v>
      </c>
      <c r="P31" s="4">
        <v>17</v>
      </c>
      <c r="Q31" s="24">
        <f>((O31/15)*0.4)+(((P31*0.1)*0.25)/15)*0.4</f>
        <v>0.49133333333333329</v>
      </c>
      <c r="R31" s="4">
        <f>M31*O31</f>
        <v>6344.7135781474435</v>
      </c>
    </row>
    <row r="32" spans="1:18" x14ac:dyDescent="0.25">
      <c r="A32" t="s">
        <v>45</v>
      </c>
      <c r="B32" t="s">
        <v>166</v>
      </c>
      <c r="C32" s="2">
        <f>(IF(AND(G32&gt;=13.5,G32&lt;24,I32&gt;=(J32*1.2),E32/D32&gt;=0.85),
(N32
+H32
+K32
+Q32
+F32)*100,
(0.75*(N32
+H32
+K32
+Q32
+F32)*100)))</f>
        <v>126.84505052541061</v>
      </c>
      <c r="D32" s="4">
        <v>135</v>
      </c>
      <c r="E32" s="4">
        <v>135</v>
      </c>
      <c r="F32" s="24">
        <f>IF(E32/D32&gt;=(D32*0.85),(E32/D32)*0.15,((E32/D32)/0.85)*0.15)</f>
        <v>0.17647058823529413</v>
      </c>
      <c r="G32" s="3">
        <v>18.100000000000001</v>
      </c>
      <c r="H32" s="24">
        <f>IF(G32&lt;12,
    0,
    IF(G32&lt;=19,
        ((G32 - 14) / (6 ^ 1.5) * 0.15 + 0.85) * 0.4,
        IF(G32&lt;=24,
            (((19 - 14) / (6 ^ 1.5) * 0.15 + 0.85) * 0.4) +
            ((G32 - 19) / (6 ^ 1.5) * 0.15 * 0.1) * 0.4,
            IF(G32&lt;=24,
                (
                    (
                        ((19 - 14) / (6 ^ 1.5) * 0.15 + 0.85) +
                        (5 / (6 ^ 1.5) * 0.15 * 0.1)
                    ) * 0.4
                ) * (1 - ((G32 - 24) / 5)),
                0
            )
        )
    )
)</f>
        <v>0.3567381799090184</v>
      </c>
      <c r="I32" s="22">
        <v>0.47</v>
      </c>
      <c r="J32" s="22">
        <v>0.35499999999999998</v>
      </c>
      <c r="K32" s="24">
        <f>IF(I32&gt;=(J32*1.2),(((((I32/0.5325)^2)*0.25)+(((I32/J32)^2)*0.75))*(0.25))*(0.15),0)</f>
        <v>5.6601699398267535E-2</v>
      </c>
      <c r="L32" s="4">
        <v>1118</v>
      </c>
      <c r="M32" s="4">
        <f>(D32*(L32^2))/450437</f>
        <v>374.61340875638547</v>
      </c>
      <c r="N32" s="24">
        <f>(((M32/100)/2)*0.1)</f>
        <v>0.18730670437819275</v>
      </c>
      <c r="O32" s="4">
        <v>18</v>
      </c>
      <c r="P32" s="4">
        <v>17</v>
      </c>
      <c r="Q32" s="24">
        <f>((O32/15)*0.4)+(((P32*0.1)*0.25)/15)*0.4</f>
        <v>0.49133333333333329</v>
      </c>
      <c r="R32" s="4">
        <f>M32*O32</f>
        <v>6743.0413576149385</v>
      </c>
    </row>
    <row r="33" spans="1:18" x14ac:dyDescent="0.25">
      <c r="A33" t="s">
        <v>67</v>
      </c>
      <c r="B33" t="s">
        <v>166</v>
      </c>
      <c r="C33" s="2">
        <f>(IF(AND(G33&gt;=13.5,G33&lt;24,I33&gt;=(J33*1.2),E33/D33&gt;=0.85),
(N33
+H33
+K33
+Q33
+F33)*100,
(0.75*(N33
+H33
+K33
+Q33
+F33)*100)))</f>
        <v>126.77163200781838</v>
      </c>
      <c r="D33" s="4">
        <v>124</v>
      </c>
      <c r="E33" s="4">
        <v>124</v>
      </c>
      <c r="F33" s="24">
        <f>IF(E33/D33&gt;=(D33*0.85),(E33/D33)*0.15,((E33/D33)/0.85)*0.15)</f>
        <v>0.17647058823529413</v>
      </c>
      <c r="G33" s="3">
        <v>16.8</v>
      </c>
      <c r="H33" s="24">
        <f>IF(G33&lt;12,
    0,
    IF(G33&lt;=19,
        ((G33 - 14) / (6 ^ 1.5) * 0.15 + 0.85) * 0.4,
        IF(G33&lt;=24,
            (((19 - 14) / (6 ^ 1.5) * 0.15 + 0.85) * 0.4) +
            ((G33 - 19) / (6 ^ 1.5) * 0.15 * 0.1) * 0.4,
            IF(G33&lt;=24,
                (
                    (
                        ((19 - 14) / (6 ^ 1.5) * 0.15 + 0.85) +
                        (5 / (6 ^ 1.5) * 0.15 * 0.1)
                    ) * 0.4
                ) * (1 - ((G33 - 24) / 5)),
                0
            )
        )
    )
)</f>
        <v>0.35143095213298814</v>
      </c>
      <c r="I33" s="22">
        <v>0.52</v>
      </c>
      <c r="J33" s="22">
        <v>0.35499999999999998</v>
      </c>
      <c r="K33" s="24">
        <f>IF(I33&gt;=(J33*1.2),(((((I33/0.5325)^2)*0.25)+(((I33/J33)^2)*0.75))*(0.25))*(0.15),0)</f>
        <v>6.9285194736494096E-2</v>
      </c>
      <c r="L33" s="4">
        <v>1141</v>
      </c>
      <c r="M33" s="4">
        <f>(D33*(L33^2))/450437</f>
        <v>358.39250328014793</v>
      </c>
      <c r="N33" s="24">
        <f>(((M33/100)/2)*0.1)</f>
        <v>0.17919625164007399</v>
      </c>
      <c r="O33" s="4">
        <v>18</v>
      </c>
      <c r="P33" s="4">
        <v>17</v>
      </c>
      <c r="Q33" s="24">
        <f>((O33/15)*0.4)+(((P33*0.1)*0.25)/15)*0.4</f>
        <v>0.49133333333333329</v>
      </c>
      <c r="R33" s="4">
        <f>M33*O33</f>
        <v>6451.0650590426631</v>
      </c>
    </row>
    <row r="34" spans="1:18" x14ac:dyDescent="0.25">
      <c r="A34" t="s">
        <v>54</v>
      </c>
      <c r="B34" t="s">
        <v>166</v>
      </c>
      <c r="C34" s="2">
        <f>(IF(AND(G34&gt;=13.5,G34&lt;24,I34&gt;=(J34*1.2),E34/D34&gt;=0.85),
(N34
+H34
+K34
+Q34
+F34)*100,
(0.75*(N34
+H34
+K34
+Q34
+F34)*100)))</f>
        <v>126.71559981378839</v>
      </c>
      <c r="D34" s="4">
        <v>115</v>
      </c>
      <c r="E34" s="4">
        <v>115</v>
      </c>
      <c r="F34" s="24">
        <f>IF(E34/D34&gt;=(D34*0.85),(E34/D34)*0.15,((E34/D34)/0.85)*0.15)</f>
        <v>0.17647058823529413</v>
      </c>
      <c r="G34" s="3">
        <v>13.5</v>
      </c>
      <c r="H34" s="24">
        <f>IF(G34&lt;12,
    0,
    IF(G34&lt;=19,
        ((G34 - 14) / (6 ^ 1.5) * 0.15 + 0.85) * 0.4,
        IF(G34&lt;=24,
            (((19 - 14) / (6 ^ 1.5) * 0.15 + 0.85) * 0.4) +
            ((G34 - 19) / (6 ^ 1.5) * 0.15 * 0.1) * 0.4,
            IF(G34&lt;=24,
                (
                    (
                        ((19 - 14) / (6 ^ 1.5) * 0.15 + 0.85) +
                        (5 / (6 ^ 1.5) * 0.15 * 0.1)
                    ) * 0.4
                ) * (1 - ((G34 - 24) / 5)),
                0
            )
        )
    )
)</f>
        <v>0.3379587585476807</v>
      </c>
      <c r="I34" s="22">
        <v>0.69</v>
      </c>
      <c r="J34" s="22">
        <v>0.35499999999999998</v>
      </c>
      <c r="K34" s="24">
        <f>IF(I34&gt;=(J34*1.2),(((((I34/0.5325)^2)*0.25)+(((I34/J34)^2)*0.75))*(0.25))*(0.15),0)</f>
        <v>0.12199216425312437</v>
      </c>
      <c r="L34" s="4">
        <v>1045</v>
      </c>
      <c r="M34" s="4">
        <f>(D34*(L34^2))/450437</f>
        <v>278.80230753690307</v>
      </c>
      <c r="N34" s="24">
        <f>(((M34/100)/2)*0.1)</f>
        <v>0.13940115376845155</v>
      </c>
      <c r="O34" s="4">
        <v>18</v>
      </c>
      <c r="P34" s="4">
        <v>17</v>
      </c>
      <c r="Q34" s="24">
        <f>((O34/15)*0.4)+(((P34*0.1)*0.25)/15)*0.4</f>
        <v>0.49133333333333329</v>
      </c>
      <c r="R34" s="4">
        <f>M34*O34</f>
        <v>5018.4415356642548</v>
      </c>
    </row>
    <row r="35" spans="1:18" x14ac:dyDescent="0.25">
      <c r="A35" t="s">
        <v>112</v>
      </c>
      <c r="B35" t="s">
        <v>167</v>
      </c>
      <c r="C35" s="2">
        <f>(IF(AND(G35&gt;=13.5,G35&lt;24,I35&gt;=(J35*1.2),E35/D35&gt;=0.85),
(N35
+H35
+K35
+Q35
+F35)*100,
(0.75*(N35
+H35
+K35
+Q35
+F35)*100)))</f>
        <v>126.64343586484688</v>
      </c>
      <c r="D35" s="4">
        <v>180</v>
      </c>
      <c r="E35" s="4">
        <v>180</v>
      </c>
      <c r="F35" s="24">
        <f>IF(E35/D35&gt;=(D35*0.85),(E35/D35)*0.15,((E35/D35)/0.85)*0.15)</f>
        <v>0.17647058823529413</v>
      </c>
      <c r="G35" s="3">
        <v>16.5</v>
      </c>
      <c r="H35" s="24">
        <f>IF(G35&lt;12,
    0,
    IF(G35&lt;=19,
        ((G35 - 14) / (6 ^ 1.5) * 0.15 + 0.85) * 0.4,
        IF(G35&lt;=24,
            (((19 - 14) / (6 ^ 1.5) * 0.15 + 0.85) * 0.4) +
            ((G35 - 19) / (6 ^ 1.5) * 0.15 * 0.1) * 0.4,
            IF(G35&lt;=24,
                (
                    (
                        ((19 - 14) / (6 ^ 1.5) * 0.15 + 0.85) +
                        (5 / (6 ^ 1.5) * 0.15 * 0.1)
                    ) * 0.4
                ) * (1 - ((G35 - 24) / 5)),
                0
            )
        )
    )
)</f>
        <v>0.35020620726159657</v>
      </c>
      <c r="I35" s="22">
        <v>0.71</v>
      </c>
      <c r="J35" s="22">
        <v>0.4</v>
      </c>
      <c r="K35" s="24">
        <f>IF(I35&gt;=(J35*1.2),(((((I35/0.5325)^2)*0.25)+(((I35/J35)^2)*0.75))*(0.25))*(0.15),0)</f>
        <v>0.10527799479166665</v>
      </c>
      <c r="L35" s="4">
        <v>995</v>
      </c>
      <c r="M35" s="4">
        <f>(D35*(L35^2))/450437</f>
        <v>395.62580338648911</v>
      </c>
      <c r="N35" s="24">
        <f>(((M35/100)/2)*0.1)</f>
        <v>0.19781290169324456</v>
      </c>
      <c r="O35" s="4">
        <v>16</v>
      </c>
      <c r="P35" s="4">
        <v>15</v>
      </c>
      <c r="Q35" s="24">
        <f>((O35/15)*0.4)+(((P35*0.1)*0.25)/15)*0.4</f>
        <v>0.4366666666666667</v>
      </c>
      <c r="R35" s="4">
        <f>M35*O35</f>
        <v>6330.0128541838258</v>
      </c>
    </row>
    <row r="36" spans="1:18" x14ac:dyDescent="0.25">
      <c r="A36" t="s">
        <v>85</v>
      </c>
      <c r="B36" t="s">
        <v>167</v>
      </c>
      <c r="C36" s="2">
        <f>(IF(AND(G36&gt;=13.5,G36&lt;24,I36&gt;=(J36*1.2),E36/D36&gt;=0.85),
(N36
+H36
+K36
+Q36
+F36)*100,
(0.75*(N36
+H36
+K36
+Q36
+F36)*100)))</f>
        <v>126.5451769601398</v>
      </c>
      <c r="D36" s="4">
        <v>180</v>
      </c>
      <c r="E36" s="4">
        <v>180</v>
      </c>
      <c r="F36" s="24">
        <f>IF(E36/D36&gt;=(D36*0.85),(E36/D36)*0.15,((E36/D36)/0.85)*0.15)</f>
        <v>0.17647058823529413</v>
      </c>
      <c r="G36" s="3">
        <v>18.5</v>
      </c>
      <c r="H36" s="24">
        <f>IF(G36&lt;12,
    0,
    IF(G36&lt;=19,
        ((G36 - 14) / (6 ^ 1.5) * 0.15 + 0.85) * 0.4,
        IF(G36&lt;=24,
            (((19 - 14) / (6 ^ 1.5) * 0.15 + 0.85) * 0.4) +
            ((G36 - 19) / (6 ^ 1.5) * 0.15 * 0.1) * 0.4,
            IF(G36&lt;=24,
                (
                    (
                        ((19 - 14) / (6 ^ 1.5) * 0.15 + 0.85) +
                        (5 / (6 ^ 1.5) * 0.15 * 0.1)
                    ) * 0.4
                ) * (1 - ((G36 - 24) / 5)),
                0
            )
        )
    )
)</f>
        <v>0.35837117307087385</v>
      </c>
      <c r="I36" s="22">
        <v>0.72</v>
      </c>
      <c r="J36" s="22">
        <v>0.4</v>
      </c>
      <c r="K36" s="24">
        <f>IF(I36&gt;=(J36*1.2),(((((I36/0.5325)^2)*0.25)+(((I36/J36)^2)*0.75))*(0.25))*(0.15),0)</f>
        <v>0.10826445645705217</v>
      </c>
      <c r="L36" s="4">
        <v>964</v>
      </c>
      <c r="M36" s="4">
        <f>(D36*(L36^2))/450437</f>
        <v>371.35777034302242</v>
      </c>
      <c r="N36" s="24">
        <f>(((M36/100)/2)*0.1)</f>
        <v>0.18567888517151121</v>
      </c>
      <c r="O36" s="4">
        <v>16</v>
      </c>
      <c r="P36" s="4">
        <v>15</v>
      </c>
      <c r="Q36" s="24">
        <f>((O36/15)*0.4)+(((P36*0.1)*0.25)/15)*0.4</f>
        <v>0.4366666666666667</v>
      </c>
      <c r="R36" s="4">
        <f>M36*O36</f>
        <v>5941.7243254883588</v>
      </c>
    </row>
    <row r="37" spans="1:18" x14ac:dyDescent="0.25">
      <c r="A37" t="s">
        <v>100</v>
      </c>
      <c r="B37" t="s">
        <v>167</v>
      </c>
      <c r="C37" s="2">
        <f>(IF(AND(G37&gt;=13.5,G37&lt;24,I37&gt;=(J37*1.2),E37/D37&gt;=0.85),
(N37
+H37
+K37
+Q37
+F37)*100,
(0.75*(N37
+H37
+K37
+Q37
+F37)*100)))</f>
        <v>126.33366482397057</v>
      </c>
      <c r="D37" s="4">
        <v>180</v>
      </c>
      <c r="E37" s="4">
        <v>180</v>
      </c>
      <c r="F37" s="24">
        <f>IF(E37/D37&gt;=(D37*0.85),(E37/D37)*0.15,((E37/D37)/0.85)*0.15)</f>
        <v>0.17647058823529413</v>
      </c>
      <c r="G37" s="3">
        <v>13.8</v>
      </c>
      <c r="H37" s="24">
        <f>IF(G37&lt;12,
    0,
    IF(G37&lt;=19,
        ((G37 - 14) / (6 ^ 1.5) * 0.15 + 0.85) * 0.4,
        IF(G37&lt;=24,
            (((19 - 14) / (6 ^ 1.5) * 0.15 + 0.85) * 0.4) +
            ((G37 - 19) / (6 ^ 1.5) * 0.15 * 0.1) * 0.4,
            IF(G37&lt;=24,
                (
                    (
                        ((19 - 14) / (6 ^ 1.5) * 0.15 + 0.85) +
                        (5 / (6 ^ 1.5) * 0.15 * 0.1)
                    ) * 0.4
                ) * (1 - ((G37 - 24) / 5)),
                0
            )
        )
    )
)</f>
        <v>0.33918350341907227</v>
      </c>
      <c r="I37" s="22">
        <v>0.82</v>
      </c>
      <c r="J37" s="22">
        <v>0.4</v>
      </c>
      <c r="K37" s="24">
        <f>IF(I37&gt;=(J37*1.2),(((((I37/0.5325)^2)*0.25)+(((I37/J37)^2)*0.75))*(0.25))*(0.15),0)</f>
        <v>0.14042635131504991</v>
      </c>
      <c r="L37" s="4">
        <v>924</v>
      </c>
      <c r="M37" s="4">
        <f>(D37*(L37^2))/450437</f>
        <v>341.17907720724543</v>
      </c>
      <c r="N37" s="24">
        <f>(((M37/100)/2)*0.1)</f>
        <v>0.17058953860362272</v>
      </c>
      <c r="O37" s="4">
        <v>16</v>
      </c>
      <c r="P37" s="4">
        <v>15</v>
      </c>
      <c r="Q37" s="24">
        <f>((O37/15)*0.4)+(((P37*0.1)*0.25)/15)*0.4</f>
        <v>0.4366666666666667</v>
      </c>
      <c r="R37" s="4">
        <f>M37*O37</f>
        <v>5458.8652353159268</v>
      </c>
    </row>
    <row r="38" spans="1:18" x14ac:dyDescent="0.25">
      <c r="A38" t="s">
        <v>99</v>
      </c>
      <c r="B38" t="s">
        <v>167</v>
      </c>
      <c r="C38" s="2">
        <f>(IF(AND(G38&gt;=13.5,G38&lt;24,I38&gt;=(J38*1.2),E38/D38&gt;=0.85),
(N38
+H38
+K38
+Q38
+F38)*100,
(0.75*(N38
+H38
+K38
+Q38
+F38)*100)))</f>
        <v>126.26282556880409</v>
      </c>
      <c r="D38" s="4">
        <v>165</v>
      </c>
      <c r="E38" s="4">
        <v>165</v>
      </c>
      <c r="F38" s="24">
        <f>IF(E38/D38&gt;=(D38*0.85),(E38/D38)*0.15,((E38/D38)/0.85)*0.15)</f>
        <v>0.17647058823529413</v>
      </c>
      <c r="G38" s="3">
        <v>19.2</v>
      </c>
      <c r="H38" s="24">
        <f>IF(G38&lt;12,
    0,
    IF(G38&lt;=19,
        ((G38 - 14) / (6 ^ 1.5) * 0.15 + 0.85) * 0.4,
        IF(G38&lt;=24,
            (((19 - 14) / (6 ^ 1.5) * 0.15 + 0.85) * 0.4) +
            ((G38 - 19) / (6 ^ 1.5) * 0.15 * 0.1) * 0.4,
            IF(G38&lt;=24,
                (
                    (
                        ((19 - 14) / (6 ^ 1.5) * 0.15 + 0.85) +
                        (5 / (6 ^ 1.5) * 0.15 * 0.1)
                    ) * 0.4
                ) * (1 - ((G38 - 24) / 5)),
                0
            )
        )
    )
)</f>
        <v>0.36049406418128593</v>
      </c>
      <c r="I38" s="22">
        <v>0.68</v>
      </c>
      <c r="J38" s="22">
        <v>0.4</v>
      </c>
      <c r="K38" s="24">
        <f>IF(I38&gt;=(J38*1.2),(((((I38/0.5325)^2)*0.25)+(((I38/J38)^2)*0.75))*(0.25))*(0.15),0)</f>
        <v>9.6569221963234794E-2</v>
      </c>
      <c r="L38" s="4">
        <v>1025</v>
      </c>
      <c r="M38" s="4">
        <f>(D38*(L38^2))/450437</f>
        <v>384.85542928311838</v>
      </c>
      <c r="N38" s="24">
        <f>(((M38/100)/2)*0.1)</f>
        <v>0.19242771464155919</v>
      </c>
      <c r="O38" s="4">
        <v>16</v>
      </c>
      <c r="P38" s="4">
        <v>15</v>
      </c>
      <c r="Q38" s="24">
        <f>((O38/15)*0.4)+(((P38*0.1)*0.25)/15)*0.4</f>
        <v>0.4366666666666667</v>
      </c>
      <c r="R38" s="4">
        <f>M38*O38</f>
        <v>6157.6868685298941</v>
      </c>
    </row>
    <row r="39" spans="1:18" x14ac:dyDescent="0.25">
      <c r="A39" t="s">
        <v>36</v>
      </c>
      <c r="B39" t="s">
        <v>166</v>
      </c>
      <c r="C39" s="2">
        <f>(IF(AND(G39&gt;=13.5,G39&lt;24,I39&gt;=(J39*1.2),E39/D39&gt;=0.85),
(N39
+H39
+K39
+Q39
+F39)*100,
(0.75*(N39
+H39
+K39
+Q39
+F39)*100)))</f>
        <v>126.25292972595692</v>
      </c>
      <c r="D39" s="4">
        <v>147</v>
      </c>
      <c r="E39" s="4">
        <v>147</v>
      </c>
      <c r="F39" s="24">
        <f>IF(E39/D39&gt;=(D39*0.85),(E39/D39)*0.15,((E39/D39)/0.85)*0.15)</f>
        <v>0.17647058823529413</v>
      </c>
      <c r="G39" s="3">
        <v>15.2</v>
      </c>
      <c r="H39" s="24">
        <f>IF(G39&lt;12,
    0,
    IF(G39&lt;=19,
        ((G39 - 14) / (6 ^ 1.5) * 0.15 + 0.85) * 0.4,
        IF(G39&lt;=24,
            (((19 - 14) / (6 ^ 1.5) * 0.15 + 0.85) * 0.4) +
            ((G39 - 19) / (6 ^ 1.5) * 0.15 * 0.1) * 0.4,
            IF(G39&lt;=24,
                (
                    (
                        ((19 - 14) / (6 ^ 1.5) * 0.15 + 0.85) +
                        (5 / (6 ^ 1.5) * 0.15 * 0.1)
                    ) * 0.4
                ) * (1 - ((G39 - 24) / 5)),
                0
            )
        )
    )
)</f>
        <v>0.34489897948556636</v>
      </c>
      <c r="I39" s="22">
        <v>0.61</v>
      </c>
      <c r="J39" s="22">
        <v>0.35499999999999998</v>
      </c>
      <c r="K39" s="24">
        <f>IF(I39&gt;=(J39*1.2),(((((I39/0.5325)^2)*0.25)+(((I39/J39)^2)*0.75))*(0.25))*(0.15),0)</f>
        <v>9.5344012431395897E-2</v>
      </c>
      <c r="L39" s="4">
        <v>973</v>
      </c>
      <c r="M39" s="4">
        <f>(D39*(L39^2))/450437</f>
        <v>308.96476754795896</v>
      </c>
      <c r="N39" s="24">
        <f>(((M39/100)/2)*0.1)</f>
        <v>0.15448238377397949</v>
      </c>
      <c r="O39" s="4">
        <v>18</v>
      </c>
      <c r="P39" s="4">
        <v>17</v>
      </c>
      <c r="Q39" s="24">
        <f>((O39/15)*0.4)+(((P39*0.1)*0.25)/15)*0.4</f>
        <v>0.49133333333333329</v>
      </c>
      <c r="R39" s="4">
        <f>M39*O39</f>
        <v>5561.3658158632616</v>
      </c>
    </row>
    <row r="40" spans="1:18" x14ac:dyDescent="0.25">
      <c r="A40" t="s">
        <v>80</v>
      </c>
      <c r="B40" t="s">
        <v>167</v>
      </c>
      <c r="C40" s="2">
        <f>(IF(AND(G40&gt;=13.5,G40&lt;24,I40&gt;=(J40*1.2),E40/D40&gt;=0.85),
(N40
+H40
+K40
+Q40
+F40)*100,
(0.75*(N40
+H40
+K40
+Q40
+F40)*100)))</f>
        <v>126.21254570013699</v>
      </c>
      <c r="D40" s="4">
        <v>155</v>
      </c>
      <c r="E40" s="4">
        <v>155</v>
      </c>
      <c r="F40" s="24">
        <f>IF(E40/D40&gt;=(D40*0.85),(E40/D40)*0.15,((E40/D40)/0.85)*0.15)</f>
        <v>0.17647058823529413</v>
      </c>
      <c r="G40" s="3">
        <v>17.2</v>
      </c>
      <c r="H40" s="24">
        <f>IF(G40&lt;12,
    0,
    IF(G40&lt;=19,
        ((G40 - 14) / (6 ^ 1.5) * 0.15 + 0.85) * 0.4,
        IF(G40&lt;=24,
            (((19 - 14) / (6 ^ 1.5) * 0.15 + 0.85) * 0.4) +
            ((G40 - 19) / (6 ^ 1.5) * 0.15 * 0.1) * 0.4,
            IF(G40&lt;=24,
                (
                    (
                        ((19 - 14) / (6 ^ 1.5) * 0.15 + 0.85) +
                        (5 / (6 ^ 1.5) * 0.15 * 0.1)
                    ) * 0.4
                ) * (1 - ((G40 - 24) / 5)),
                0
            )
        )
    )
)</f>
        <v>0.35306394529484364</v>
      </c>
      <c r="I40" s="22">
        <v>0.67</v>
      </c>
      <c r="J40" s="22">
        <v>0.4</v>
      </c>
      <c r="K40" s="24">
        <f>IF(I40&gt;=(J40*1.2),(((((I40/0.5325)^2)*0.25)+(((I40/J40)^2)*0.75))*(0.25))*(0.15),0)</f>
        <v>9.374983507633243E-2</v>
      </c>
      <c r="L40" s="4">
        <v>1084</v>
      </c>
      <c r="M40" s="4">
        <f>(D40*(L40^2))/450437</f>
        <v>404.3488434564656</v>
      </c>
      <c r="N40" s="24">
        <f>(((M40/100)/2)*0.1)</f>
        <v>0.20217442172823283</v>
      </c>
      <c r="O40" s="4">
        <v>16</v>
      </c>
      <c r="P40" s="4">
        <v>15</v>
      </c>
      <c r="Q40" s="24">
        <f>((O40/15)*0.4)+(((P40*0.1)*0.25)/15)*0.4</f>
        <v>0.4366666666666667</v>
      </c>
      <c r="R40" s="4">
        <f>M40*O40</f>
        <v>6469.5814953034496</v>
      </c>
    </row>
    <row r="41" spans="1:18" x14ac:dyDescent="0.25">
      <c r="A41" t="s">
        <v>66</v>
      </c>
      <c r="B41" t="s">
        <v>166</v>
      </c>
      <c r="C41" s="2">
        <f>(IF(AND(G41&gt;=13.5,G41&lt;24,I41&gt;=(J41*1.2),E41/D41&gt;=0.85),
(N41
+H41
+K41
+Q41
+F41)*100,
(0.75*(N41
+H41
+K41
+Q41
+F41)*100)))</f>
        <v>126.1885324526516</v>
      </c>
      <c r="D41" s="4">
        <v>115</v>
      </c>
      <c r="E41" s="4">
        <v>115</v>
      </c>
      <c r="F41" s="24">
        <f>IF(E41/D41&gt;=(D41*0.85),(E41/D41)*0.15,((E41/D41)/0.85)*0.15)</f>
        <v>0.17647058823529413</v>
      </c>
      <c r="G41" s="3">
        <v>16.399999999999999</v>
      </c>
      <c r="H41" s="24">
        <f>IF(G41&lt;12,
    0,
    IF(G41&lt;=19,
        ((G41 - 14) / (6 ^ 1.5) * 0.15 + 0.85) * 0.4,
        IF(G41&lt;=24,
            (((19 - 14) / (6 ^ 1.5) * 0.15 + 0.85) * 0.4) +
            ((G41 - 19) / (6 ^ 1.5) * 0.15 * 0.1) * 0.4,
            IF(G41&lt;=24,
                (
                    (
                        ((19 - 14) / (6 ^ 1.5) * 0.15 + 0.85) +
                        (5 / (6 ^ 1.5) * 0.15 * 0.1)
                    ) * 0.4
                ) * (1 - ((G41 - 24) / 5)),
                0
            )
        )
    )
)</f>
        <v>0.34979795897113269</v>
      </c>
      <c r="I41" s="22">
        <v>0.55000000000000004</v>
      </c>
      <c r="J41" s="22">
        <v>0.35499999999999998</v>
      </c>
      <c r="K41" s="24">
        <f>IF(I41&gt;=(J41*1.2),(((((I41/0.5325)^2)*0.25)+(((I41/J41)^2)*0.75))*(0.25))*(0.15),0)</f>
        <v>7.7510249289162211E-2</v>
      </c>
      <c r="L41" s="4">
        <v>1143</v>
      </c>
      <c r="M41" s="4">
        <f>(D41*(L41^2))/450437</f>
        <v>333.54638939518736</v>
      </c>
      <c r="N41" s="24">
        <f>(((M41/100)/2)*0.1)</f>
        <v>0.16677319469759369</v>
      </c>
      <c r="O41" s="4">
        <v>18</v>
      </c>
      <c r="P41" s="4">
        <v>17</v>
      </c>
      <c r="Q41" s="24">
        <f>((O41/15)*0.4)+(((P41*0.1)*0.25)/15)*0.4</f>
        <v>0.49133333333333329</v>
      </c>
      <c r="R41" s="4">
        <f>M41*O41</f>
        <v>6003.8350091133725</v>
      </c>
    </row>
    <row r="42" spans="1:18" x14ac:dyDescent="0.25">
      <c r="A42" t="s">
        <v>101</v>
      </c>
      <c r="B42" t="s">
        <v>167</v>
      </c>
      <c r="C42" s="2">
        <f>(IF(AND(G42&gt;=13.5,G42&lt;24,I42&gt;=(J42*1.2),E42/D42&gt;=0.85),
(N42
+H42
+K42
+Q42
+F42)*100,
(0.75*(N42
+H42
+K42
+Q42
+F42)*100)))</f>
        <v>125.89475484107673</v>
      </c>
      <c r="D42" s="4">
        <v>180</v>
      </c>
      <c r="E42" s="4">
        <v>180</v>
      </c>
      <c r="F42" s="24">
        <f>IF(E42/D42&gt;=(D42*0.85),(E42/D42)*0.15,((E42/D42)/0.85)*0.15)</f>
        <v>0.17647058823529413</v>
      </c>
      <c r="G42" s="3">
        <v>13.8</v>
      </c>
      <c r="H42" s="24">
        <f>IF(G42&lt;12,
    0,
    IF(G42&lt;=19,
        ((G42 - 14) / (6 ^ 1.5) * 0.15 + 0.85) * 0.4,
        IF(G42&lt;=24,
            (((19 - 14) / (6 ^ 1.5) * 0.15 + 0.85) * 0.4) +
            ((G42 - 19) / (6 ^ 1.5) * 0.15 * 0.1) * 0.4,
            IF(G42&lt;=24,
                (
                    (
                        ((19 - 14) / (6 ^ 1.5) * 0.15 + 0.85) +
                        (5 / (6 ^ 1.5) * 0.15 * 0.1)
                    ) * 0.4
                ) * (1 - ((G42 - 24) / 5)),
                0
            )
        )
    )
)</f>
        <v>0.33918350341907227</v>
      </c>
      <c r="I42" s="22">
        <v>0.78</v>
      </c>
      <c r="J42" s="22">
        <v>0.4</v>
      </c>
      <c r="K42" s="24">
        <f>IF(I42&gt;=(J42*1.2),(((((I42/0.5325)^2)*0.25)+(((I42/J42)^2)*0.75))*(0.25))*(0.15),0)</f>
        <v>0.1270603690364015</v>
      </c>
      <c r="L42" s="4">
        <v>948</v>
      </c>
      <c r="M42" s="4">
        <f>(D42*(L42^2))/450437</f>
        <v>359.13284210666529</v>
      </c>
      <c r="N42" s="24">
        <f>(((M42/100)/2)*0.1)</f>
        <v>0.17956642105333265</v>
      </c>
      <c r="O42" s="4">
        <v>16</v>
      </c>
      <c r="P42" s="4">
        <v>15</v>
      </c>
      <c r="Q42" s="24">
        <f>((O42/15)*0.4)+(((P42*0.1)*0.25)/15)*0.4</f>
        <v>0.4366666666666667</v>
      </c>
      <c r="R42" s="4">
        <f>M42*O42</f>
        <v>5746.1254737066447</v>
      </c>
    </row>
    <row r="43" spans="1:18" x14ac:dyDescent="0.25">
      <c r="A43" t="s">
        <v>35</v>
      </c>
      <c r="B43" t="s">
        <v>166</v>
      </c>
      <c r="C43" s="2">
        <f>(IF(AND(G43&gt;=13.5,G43&lt;24,I43&gt;=(J43*1.2),E43/D43&gt;=0.85),
(N43
+H43
+K43
+Q43
+F43)*100,
(0.75*(N43
+H43
+K43
+Q43
+F43)*100)))</f>
        <v>125.88520385242445</v>
      </c>
      <c r="D43" s="4">
        <v>135</v>
      </c>
      <c r="E43" s="4">
        <v>135</v>
      </c>
      <c r="F43" s="24">
        <f>IF(E43/D43&gt;=(D43*0.85),(E43/D43)*0.15,((E43/D43)/0.85)*0.15)</f>
        <v>0.17647058823529413</v>
      </c>
      <c r="G43" s="3">
        <v>13.8</v>
      </c>
      <c r="H43" s="24">
        <f>IF(G43&lt;12,
    0,
    IF(G43&lt;=19,
        ((G43 - 14) / (6 ^ 1.5) * 0.15 + 0.85) * 0.4,
        IF(G43&lt;=24,
            (((19 - 14) / (6 ^ 1.5) * 0.15 + 0.85) * 0.4) +
            ((G43 - 19) / (6 ^ 1.5) * 0.15 * 0.1) * 0.4,
            IF(G43&lt;=24,
                (
                    (
                        ((19 - 14) / (6 ^ 1.5) * 0.15 + 0.85) +
                        (5 / (6 ^ 1.5) * 0.15 * 0.1)
                    ) * 0.4
                ) * (1 - ((G43 - 24) / 5)),
                0
            )
        )
    )
)</f>
        <v>0.33918350341907227</v>
      </c>
      <c r="I43" s="22">
        <v>0.61</v>
      </c>
      <c r="J43" s="22">
        <v>0.35499999999999998</v>
      </c>
      <c r="K43" s="24">
        <f>IF(I43&gt;=(J43*1.2),(((((I43/0.5325)^2)*0.25)+(((I43/J43)^2)*0.75))*(0.25))*(0.15),0)</f>
        <v>9.5344012431395897E-2</v>
      </c>
      <c r="L43" s="4">
        <v>1022</v>
      </c>
      <c r="M43" s="4">
        <f>(D43*(L43^2))/450437</f>
        <v>313.04120221029802</v>
      </c>
      <c r="N43" s="24">
        <f>(((M43/100)/2)*0.1)</f>
        <v>0.15652060110514901</v>
      </c>
      <c r="O43" s="4">
        <v>18</v>
      </c>
      <c r="P43" s="4">
        <v>17</v>
      </c>
      <c r="Q43" s="24">
        <f>((O43/15)*0.4)+(((P43*0.1)*0.25)/15)*0.4</f>
        <v>0.49133333333333329</v>
      </c>
      <c r="R43" s="4">
        <f>M43*O43</f>
        <v>5634.7416397853649</v>
      </c>
    </row>
    <row r="44" spans="1:18" x14ac:dyDescent="0.25">
      <c r="A44" t="s">
        <v>69</v>
      </c>
      <c r="B44" t="s">
        <v>166</v>
      </c>
      <c r="C44" s="2">
        <f>(IF(AND(G44&gt;=13.5,G44&lt;24,I44&gt;=(J44*1.2),E44/D44&gt;=0.85),
(N44
+H44
+K44
+Q44
+F44)*100,
(0.75*(N44
+H44
+K44
+Q44
+F44)*100)))</f>
        <v>125.59657246803812</v>
      </c>
      <c r="D44" s="4">
        <v>124</v>
      </c>
      <c r="E44" s="4">
        <v>124</v>
      </c>
      <c r="F44" s="24">
        <f>IF(E44/D44&gt;=(D44*0.85),(E44/D44)*0.15,((E44/D44)/0.85)*0.15)</f>
        <v>0.17647058823529413</v>
      </c>
      <c r="G44" s="3">
        <v>18.100000000000001</v>
      </c>
      <c r="H44" s="24">
        <f>IF(G44&lt;12,
    0,
    IF(G44&lt;=19,
        ((G44 - 14) / (6 ^ 1.5) * 0.15 + 0.85) * 0.4,
        IF(G44&lt;=24,
            (((19 - 14) / (6 ^ 1.5) * 0.15 + 0.85) * 0.4) +
            ((G44 - 19) / (6 ^ 1.5) * 0.15 * 0.1) * 0.4,
            IF(G44&lt;=24,
                (
                    (
                        ((19 - 14) / (6 ^ 1.5) * 0.15 + 0.85) +
                        (5 / (6 ^ 1.5) * 0.15 * 0.1)
                    ) * 0.4
                ) * (1 - ((G44 - 24) / 5)),
                0
            )
        )
    )
)</f>
        <v>0.3567381799090184</v>
      </c>
      <c r="I44" s="22">
        <v>0.54</v>
      </c>
      <c r="J44" s="22">
        <v>0.35499999999999998</v>
      </c>
      <c r="K44" s="24">
        <f>IF(I44&gt;=(J44*1.2),(((((I44/0.5325)^2)*0.25)+(((I44/J44)^2)*0.75))*(0.25))*(0.15),0)</f>
        <v>7.471731799246184E-2</v>
      </c>
      <c r="L44" s="4">
        <v>1067</v>
      </c>
      <c r="M44" s="4">
        <f>(D44*(L44^2))/450437</f>
        <v>313.41261042054714</v>
      </c>
      <c r="N44" s="24">
        <f>(((M44/100)/2)*0.1)</f>
        <v>0.15670630521027359</v>
      </c>
      <c r="O44" s="4">
        <v>18</v>
      </c>
      <c r="P44" s="4">
        <v>17</v>
      </c>
      <c r="Q44" s="24">
        <f>((O44/15)*0.4)+(((P44*0.1)*0.25)/15)*0.4</f>
        <v>0.49133333333333329</v>
      </c>
      <c r="R44" s="4">
        <f>M44*O44</f>
        <v>5641.4269875698483</v>
      </c>
    </row>
    <row r="45" spans="1:18" x14ac:dyDescent="0.25">
      <c r="A45" t="s">
        <v>46</v>
      </c>
      <c r="B45" t="s">
        <v>168</v>
      </c>
      <c r="C45" s="2">
        <f>(IF(AND(G45&gt;=13.5,G45&lt;24,I45&gt;=(J45*1.2),E45/D45&gt;=0.85),
(N45
+H45
+K45
+Q45
+F45)*100,
(0.75*(N45
+H45
+K45
+Q45
+F45)*100)))</f>
        <v>125.35184098630971</v>
      </c>
      <c r="D45" s="4">
        <v>135</v>
      </c>
      <c r="E45" s="4">
        <v>135</v>
      </c>
      <c r="F45" s="24">
        <f>IF(E45/D45&gt;=(D45*0.85),(E45/D45)*0.15,((E45/D45)/0.85)*0.15)</f>
        <v>0.17647058823529413</v>
      </c>
      <c r="G45" s="3">
        <v>18.899999999999999</v>
      </c>
      <c r="H45" s="24">
        <f>IF(G45&lt;12,
    0,
    IF(G45&lt;=19,
        ((G45 - 14) / (6 ^ 1.5) * 0.15 + 0.85) * 0.4,
        IF(G45&lt;=24,
            (((19 - 14) / (6 ^ 1.5) * 0.15 + 0.85) * 0.4) +
            ((G45 - 19) / (6 ^ 1.5) * 0.15 * 0.1) * 0.4,
            IF(G45&lt;=24,
                (
                    (
                        ((19 - 14) / (6 ^ 1.5) * 0.15 + 0.85) +
                        (5 / (6 ^ 1.5) * 0.15 * 0.1)
                    ) * 0.4
                ) * (1 - ((G45 - 24) / 5)),
                0
            )
        )
    )
)</f>
        <v>0.36000416623272929</v>
      </c>
      <c r="I45" s="22">
        <v>0.47</v>
      </c>
      <c r="J45" s="22">
        <v>0.35499999999999998</v>
      </c>
      <c r="K45" s="24">
        <f>IF(I45&gt;=(J45*1.2),(((((I45/0.5325)^2)*0.25)+(((I45/J45)^2)*0.75))*(0.25))*(0.15),0)</f>
        <v>5.6601699398267535E-2</v>
      </c>
      <c r="L45" s="4">
        <v>1222</v>
      </c>
      <c r="M45" s="4">
        <f>(D45*(L45^2))/450437</f>
        <v>447.5505786602788</v>
      </c>
      <c r="N45" s="24">
        <f>(((M45/100)/2)*0.1)</f>
        <v>0.22377528933013943</v>
      </c>
      <c r="O45" s="4">
        <v>16</v>
      </c>
      <c r="P45" s="4">
        <v>15</v>
      </c>
      <c r="Q45" s="24">
        <f>((O45/15)*0.4)+(((P45*0.1)*0.25)/15)*0.4</f>
        <v>0.4366666666666667</v>
      </c>
      <c r="R45" s="4">
        <f>M45*O45</f>
        <v>7160.8092585644608</v>
      </c>
    </row>
    <row r="46" spans="1:18" x14ac:dyDescent="0.25">
      <c r="A46" t="s">
        <v>81</v>
      </c>
      <c r="B46" t="s">
        <v>167</v>
      </c>
      <c r="C46" s="2">
        <f>(IF(AND(G46&gt;=13.5,G46&lt;24,I46&gt;=(J46*1.2),E46/D46&gt;=0.85),
(N46
+H46
+K46
+Q46
+F46)*100,
(0.75*(N46
+H46
+K46
+Q46
+F46)*100)))</f>
        <v>125.17131653664163</v>
      </c>
      <c r="D46" s="4">
        <v>155</v>
      </c>
      <c r="E46" s="4">
        <v>155</v>
      </c>
      <c r="F46" s="24">
        <f>IF(E46/D46&gt;=(D46*0.85),(E46/D46)*0.15,((E46/D46)/0.85)*0.15)</f>
        <v>0.17647058823529413</v>
      </c>
      <c r="G46" s="3">
        <v>18.399999999999999</v>
      </c>
      <c r="H46" s="24">
        <f>IF(G46&lt;12,
    0,
    IF(G46&lt;=19,
        ((G46 - 14) / (6 ^ 1.5) * 0.15 + 0.85) * 0.4,
        IF(G46&lt;=24,
            (((19 - 14) / (6 ^ 1.5) * 0.15 + 0.85) * 0.4) +
            ((G46 - 19) / (6 ^ 1.5) * 0.15 * 0.1) * 0.4,
            IF(G46&lt;=24,
                (
                    (
                        ((19 - 14) / (6 ^ 1.5) * 0.15 + 0.85) +
                        (5 / (6 ^ 1.5) * 0.15 * 0.1)
                    ) * 0.4
                ) * (1 - ((G46 - 24) / 5)),
                0
            )
        )
    )
)</f>
        <v>0.35796292478040997</v>
      </c>
      <c r="I46" s="22">
        <v>0.63</v>
      </c>
      <c r="J46" s="22">
        <v>0.4</v>
      </c>
      <c r="K46" s="24">
        <f>IF(I46&gt;=(J46*1.2),(((((I46/0.5325)^2)*0.25)+(((I46/J46)^2)*0.75))*(0.25))*(0.15),0)</f>
        <v>8.2889974474930572E-2</v>
      </c>
      <c r="L46" s="4">
        <v>1072</v>
      </c>
      <c r="M46" s="4">
        <f>(D46*(L46^2))/450437</f>
        <v>395.4460224182294</v>
      </c>
      <c r="N46" s="24">
        <f>(((M46/100)/2)*0.1)</f>
        <v>0.19772301120911473</v>
      </c>
      <c r="O46" s="4">
        <v>16</v>
      </c>
      <c r="P46" s="4">
        <v>15</v>
      </c>
      <c r="Q46" s="24">
        <f>((O46/15)*0.4)+(((P46*0.1)*0.25)/15)*0.4</f>
        <v>0.4366666666666667</v>
      </c>
      <c r="R46" s="4">
        <f>M46*O46</f>
        <v>6327.1363586916705</v>
      </c>
    </row>
    <row r="47" spans="1:18" x14ac:dyDescent="0.25">
      <c r="A47" t="s">
        <v>47</v>
      </c>
      <c r="B47" t="s">
        <v>166</v>
      </c>
      <c r="C47" s="2">
        <f>(IF(AND(G47&gt;=13.5,G47&lt;24,I47&gt;=(J47*1.2),E47/D47&gt;=0.85),
(N47
+H47
+K47
+Q47
+F47)*100,
(0.75*(N47
+H47
+K47
+Q47
+F47)*100)))</f>
        <v>125.10828170033609</v>
      </c>
      <c r="D47" s="4">
        <v>147</v>
      </c>
      <c r="E47" s="4">
        <v>147</v>
      </c>
      <c r="F47" s="24">
        <f>IF(E47/D47&gt;=(D47*0.85),(E47/D47)*0.15,((E47/D47)/0.85)*0.15)</f>
        <v>0.17647058823529413</v>
      </c>
      <c r="G47" s="3">
        <v>19.3</v>
      </c>
      <c r="H47" s="24">
        <f>IF(G47&lt;12,
    0,
    IF(G47&lt;=19,
        ((G47 - 14) / (6 ^ 1.5) * 0.15 + 0.85) * 0.4,
        IF(G47&lt;=24,
            (((19 - 14) / (6 ^ 1.5) * 0.15 + 0.85) * 0.4) +
            ((G47 - 19) / (6 ^ 1.5) * 0.15 * 0.1) * 0.4,
            IF(G47&lt;=24,
                (
                    (
                        ((19 - 14) / (6 ^ 1.5) * 0.15 + 0.85) +
                        (5 / (6 ^ 1.5) * 0.15 * 0.1)
                    ) * 0.4
                ) * (1 - ((G47 - 24) / 5)),
                0
            )
        )
    )
)</f>
        <v>0.36053488901033232</v>
      </c>
      <c r="I47" s="22">
        <v>0.49</v>
      </c>
      <c r="J47" s="22">
        <v>0.35499999999999998</v>
      </c>
      <c r="K47" s="24">
        <f>IF(I47&gt;=(J47*1.2),(((((I47/0.5325)^2)*0.25)+(((I47/J47)^2)*0.75))*(0.25))*(0.15),0)</f>
        <v>6.1521358196125094E-2</v>
      </c>
      <c r="L47" s="4">
        <v>994</v>
      </c>
      <c r="M47" s="4">
        <f>(D47*(L47^2))/450437</f>
        <v>322.44529645655217</v>
      </c>
      <c r="N47" s="24">
        <f>(((M47/100)/2)*0.1)</f>
        <v>0.16122264822827609</v>
      </c>
      <c r="O47" s="4">
        <v>18</v>
      </c>
      <c r="P47" s="4">
        <v>17</v>
      </c>
      <c r="Q47" s="24">
        <f>((O47/15)*0.4)+(((P47*0.1)*0.25)/15)*0.4</f>
        <v>0.49133333333333329</v>
      </c>
      <c r="R47" s="4">
        <f>M47*O47</f>
        <v>5804.015336217939</v>
      </c>
    </row>
    <row r="48" spans="1:18" x14ac:dyDescent="0.25">
      <c r="A48" t="s">
        <v>89</v>
      </c>
      <c r="B48" t="s">
        <v>167</v>
      </c>
      <c r="C48" s="2">
        <f>(IF(AND(G48&gt;=13.5,G48&lt;24,I48&gt;=(J48*1.2),E48/D48&gt;=0.85),
(N48
+H48
+K48
+Q48
+F48)*100,
(0.75*(N48
+H48
+K48
+Q48
+F48)*100)))</f>
        <v>125.05943996603199</v>
      </c>
      <c r="D48" s="4">
        <v>165</v>
      </c>
      <c r="E48" s="4">
        <v>165</v>
      </c>
      <c r="F48" s="24">
        <f>IF(E48/D48&gt;=(D48*0.85),(E48/D48)*0.15,((E48/D48)/0.85)*0.15)</f>
        <v>0.17647058823529413</v>
      </c>
      <c r="G48" s="3">
        <v>16.600000000000001</v>
      </c>
      <c r="H48" s="24">
        <f>IF(G48&lt;12,
    0,
    IF(G48&lt;=19,
        ((G48 - 14) / (6 ^ 1.5) * 0.15 + 0.85) * 0.4,
        IF(G48&lt;=24,
            (((19 - 14) / (6 ^ 1.5) * 0.15 + 0.85) * 0.4) +
            ((G48 - 19) / (6 ^ 1.5) * 0.15 * 0.1) * 0.4,
            IF(G48&lt;=24,
                (
                    (
                        ((19 - 14) / (6 ^ 1.5) * 0.15 + 0.85) +
                        (5 / (6 ^ 1.5) * 0.15 * 0.1)
                    ) * 0.4
                ) * (1 - ((G48 - 24) / 5)),
                0
            )
        )
    )
)</f>
        <v>0.3506144555520605</v>
      </c>
      <c r="I48" s="22">
        <v>0.6</v>
      </c>
      <c r="J48" s="22">
        <v>0.4</v>
      </c>
      <c r="K48" s="24">
        <f>IF(I48&gt;=(J48*1.2),(((((I48/0.5325)^2)*0.25)+(((I48/J48)^2)*0.75))*(0.25))*(0.15),0)</f>
        <v>7.5183650317397308E-2</v>
      </c>
      <c r="L48" s="4">
        <v>1075</v>
      </c>
      <c r="M48" s="4">
        <f>(D48*(L48^2))/450437</f>
        <v>423.31807777780244</v>
      </c>
      <c r="N48" s="24">
        <f>(((M48/100)/2)*0.1)</f>
        <v>0.21165903888890122</v>
      </c>
      <c r="O48" s="4">
        <v>16</v>
      </c>
      <c r="P48" s="4">
        <v>15</v>
      </c>
      <c r="Q48" s="24">
        <f>((O48/15)*0.4)+(((P48*0.1)*0.25)/15)*0.4</f>
        <v>0.4366666666666667</v>
      </c>
      <c r="R48" s="4">
        <f>M48*O48</f>
        <v>6773.0892444448391</v>
      </c>
    </row>
    <row r="49" spans="1:52" x14ac:dyDescent="0.25">
      <c r="A49" t="s">
        <v>74</v>
      </c>
      <c r="B49" t="s">
        <v>166</v>
      </c>
      <c r="C49" s="2">
        <f>(IF(AND(G49&gt;=13.5,G49&lt;24,I49&gt;=(J49*1.2),E49/D49&gt;=0.85),
(N49
+H49
+K49
+Q49
+F49)*100,
(0.75*(N49
+H49
+K49
+Q49
+F49)*100)))</f>
        <v>124.93060917755436</v>
      </c>
      <c r="D49" s="4">
        <v>147</v>
      </c>
      <c r="E49" s="4">
        <v>147</v>
      </c>
      <c r="F49" s="24">
        <f>IF(E49/D49&gt;=(D49*0.85),(E49/D49)*0.15,((E49/D49)/0.85)*0.15)</f>
        <v>0.17647058823529413</v>
      </c>
      <c r="G49" s="3">
        <v>20.6</v>
      </c>
      <c r="H49" s="24">
        <f>IF(G49&lt;12,
    0,
    IF(G49&lt;=19,
        ((G49 - 14) / (6 ^ 1.5) * 0.15 + 0.85) * 0.4,
        IF(G49&lt;=24,
            (((19 - 14) / (6 ^ 1.5) * 0.15 + 0.85) * 0.4) +
            ((G49 - 19) / (6 ^ 1.5) * 0.15 * 0.1) * 0.4,
            IF(G49&lt;=24,
                (
                    (
                        ((19 - 14) / (6 ^ 1.5) * 0.15 + 0.85) +
                        (5 / (6 ^ 1.5) * 0.15 * 0.1)
                    ) * 0.4
                ) * (1 - ((G49 - 24) / 5)),
                0
            )
        )
    )
)</f>
        <v>0.36106561178793534</v>
      </c>
      <c r="I49" s="22">
        <v>0.54</v>
      </c>
      <c r="J49" s="22">
        <v>0.35499999999999998</v>
      </c>
      <c r="K49" s="24">
        <f>IF(I49&gt;=(J49*1.2),(((((I49/0.5325)^2)*0.25)+(((I49/J49)^2)*0.75))*(0.25))*(0.15),0)</f>
        <v>7.471731799246184E-2</v>
      </c>
      <c r="L49" s="4">
        <v>945</v>
      </c>
      <c r="M49" s="4">
        <f>(D49*(L49^2))/450437</f>
        <v>291.4384808530383</v>
      </c>
      <c r="N49" s="24">
        <f>(((M49/100)/2)*0.1)</f>
        <v>0.14571924042651915</v>
      </c>
      <c r="O49" s="4">
        <v>18</v>
      </c>
      <c r="P49" s="4">
        <v>17</v>
      </c>
      <c r="Q49" s="24">
        <f>((O49/15)*0.4)+(((P49*0.1)*0.25)/15)*0.4</f>
        <v>0.49133333333333329</v>
      </c>
      <c r="R49" s="4">
        <f>M49*O49</f>
        <v>5245.8926553546899</v>
      </c>
    </row>
    <row r="50" spans="1:52" x14ac:dyDescent="0.25">
      <c r="A50" t="s">
        <v>34</v>
      </c>
      <c r="B50" t="s">
        <v>166</v>
      </c>
      <c r="C50" s="2">
        <f>(IF(AND(G50&gt;=13.5,G50&lt;24,I50&gt;=(J50*1.2),E50/D50&gt;=0.85),
(N50
+H50
+K50
+Q50
+F50)*100,
(0.75*(N50
+H50
+K50
+Q50
+F50)*100)))</f>
        <v>124.92826678680045</v>
      </c>
      <c r="D50" s="4">
        <v>135</v>
      </c>
      <c r="E50" s="4">
        <v>135</v>
      </c>
      <c r="F50" s="24">
        <f>IF(E50/D50&gt;=(D50*0.85),(E50/D50)*0.15,((E50/D50)/0.85)*0.15)</f>
        <v>0.17647058823529413</v>
      </c>
      <c r="G50" s="3">
        <v>18.100000000000001</v>
      </c>
      <c r="H50" s="24">
        <f>IF(G50&lt;12,
    0,
    IF(G50&lt;=19,
        ((G50 - 14) / (6 ^ 1.5) * 0.15 + 0.85) * 0.4,
        IF(G50&lt;=24,
            (((19 - 14) / (6 ^ 1.5) * 0.15 + 0.85) * 0.4) +
            ((G50 - 19) / (6 ^ 1.5) * 0.15 * 0.1) * 0.4,
            IF(G50&lt;=24,
                (
                    (
                        ((19 - 14) / (6 ^ 1.5) * 0.15 + 0.85) +
                        (5 / (6 ^ 1.5) * 0.15 * 0.1)
                    ) * 0.4
                ) * (1 - ((G50 - 24) / 5)),
                0
            )
        )
    )
)</f>
        <v>0.3567381799090184</v>
      </c>
      <c r="I50" s="22">
        <v>0.45</v>
      </c>
      <c r="J50" s="22">
        <v>0.35499999999999998</v>
      </c>
      <c r="K50" s="24">
        <f>IF(I50&gt;=(J50*1.2),(((((I50/0.5325)^2)*0.25)+(((I50/J50)^2)*0.75))*(0.25))*(0.15),0)</f>
        <v>5.1887026383654035E-2</v>
      </c>
      <c r="L50" s="4">
        <v>1074</v>
      </c>
      <c r="M50" s="4">
        <f>(D50*(L50^2))/450437</f>
        <v>345.70708001340921</v>
      </c>
      <c r="N50" s="24">
        <f>(((M50/100)/2)*0.1)</f>
        <v>0.17285354000670461</v>
      </c>
      <c r="O50" s="4">
        <v>18</v>
      </c>
      <c r="P50" s="4">
        <v>17</v>
      </c>
      <c r="Q50" s="24">
        <f>((O50/15)*0.4)+(((P50*0.1)*0.25)/15)*0.4</f>
        <v>0.49133333333333329</v>
      </c>
      <c r="R50" s="4">
        <f>M50*O50</f>
        <v>6222.7274402413659</v>
      </c>
    </row>
    <row r="51" spans="1:52" x14ac:dyDescent="0.25">
      <c r="A51" t="s">
        <v>65</v>
      </c>
      <c r="B51" t="s">
        <v>166</v>
      </c>
      <c r="C51" s="2">
        <f>(IF(AND(G51&gt;=13.5,G51&lt;24,I51&gt;=(J51*1.2),E51/D51&gt;=0.85),
(N51
+H51
+K51
+Q51
+F51)*100,
(0.75*(N51
+H51
+K51
+Q51
+F51)*100)))</f>
        <v>124.87397188577208</v>
      </c>
      <c r="D51" s="4">
        <v>124</v>
      </c>
      <c r="E51" s="4">
        <v>124</v>
      </c>
      <c r="F51" s="24">
        <f>IF(E51/D51&gt;=(D51*0.85),(E51/D51)*0.15,((E51/D51)/0.85)*0.15)</f>
        <v>0.17647058823529413</v>
      </c>
      <c r="G51" s="3">
        <v>17.3</v>
      </c>
      <c r="H51" s="24">
        <f>IF(G51&lt;12,
    0,
    IF(G51&lt;=19,
        ((G51 - 14) / (6 ^ 1.5) * 0.15 + 0.85) * 0.4,
        IF(G51&lt;=24,
            (((19 - 14) / (6 ^ 1.5) * 0.15 + 0.85) * 0.4) +
            ((G51 - 19) / (6 ^ 1.5) * 0.15 * 0.1) * 0.4,
            IF(G51&lt;=24,
                (
                    (
                        ((19 - 14) / (6 ^ 1.5) * 0.15 + 0.85) +
                        (5 / (6 ^ 1.5) * 0.15 * 0.1)
                    ) * 0.4
                ) * (1 - ((G51 - 24) / 5)),
                0
            )
        )
    )
)</f>
        <v>0.35347219358530751</v>
      </c>
      <c r="I51" s="22">
        <v>0.52</v>
      </c>
      <c r="J51" s="22">
        <v>0.35499999999999998</v>
      </c>
      <c r="K51" s="24">
        <f>IF(I51&gt;=(J51*1.2),(((((I51/0.5325)^2)*0.25)+(((I51/J51)^2)*0.75))*(0.25))*(0.15),0)</f>
        <v>6.9285194736494096E-2</v>
      </c>
      <c r="L51" s="4">
        <v>1072</v>
      </c>
      <c r="M51" s="4">
        <f>(D51*(L51^2))/450437</f>
        <v>316.35681793458355</v>
      </c>
      <c r="N51" s="24">
        <f>(((M51/100)/2)*0.1)</f>
        <v>0.15817840896729179</v>
      </c>
      <c r="O51" s="4">
        <v>18</v>
      </c>
      <c r="P51" s="4">
        <v>17</v>
      </c>
      <c r="Q51" s="24">
        <f>((O51/15)*0.4)+(((P51*0.1)*0.25)/15)*0.4</f>
        <v>0.49133333333333329</v>
      </c>
      <c r="R51" s="4">
        <f>M51*O51</f>
        <v>5694.4227228225036</v>
      </c>
    </row>
    <row r="52" spans="1:52" x14ac:dyDescent="0.25">
      <c r="A52" t="s">
        <v>63</v>
      </c>
      <c r="B52" t="s">
        <v>166</v>
      </c>
      <c r="C52" s="2">
        <f>(IF(AND(G52&gt;=13.5,G52&lt;24,I52&gt;=(J52*1.2),E52/D52&gt;=0.85),
(N52
+H52
+K52
+Q52
+F52)*100,
(0.75*(N52
+H52
+K52
+Q52
+F52)*100)))</f>
        <v>124.82100918660832</v>
      </c>
      <c r="D52" s="4">
        <v>147</v>
      </c>
      <c r="E52" s="4">
        <v>147</v>
      </c>
      <c r="F52" s="24">
        <f>IF(E52/D52&gt;=(D52*0.85),(E52/D52)*0.15,((E52/D52)/0.85)*0.15)</f>
        <v>0.17647058823529413</v>
      </c>
      <c r="G52" s="3">
        <v>19.8</v>
      </c>
      <c r="H52" s="24">
        <f>IF(G52&lt;12,
    0,
    IF(G52&lt;=19,
        ((G52 - 14) / (6 ^ 1.5) * 0.15 + 0.85) * 0.4,
        IF(G52&lt;=24,
            (((19 - 14) / (6 ^ 1.5) * 0.15 + 0.85) * 0.4) +
            ((G52 - 19) / (6 ^ 1.5) * 0.15 * 0.1) * 0.4,
            IF(G52&lt;=24,
                (
                    (
                        ((19 - 14) / (6 ^ 1.5) * 0.15 + 0.85) +
                        (5 / (6 ^ 1.5) * 0.15 * 0.1)
                    ) * 0.4
                ) * (1 - ((G52 - 24) / 5)),
                0
            )
        )
    )
)</f>
        <v>0.36073901315556428</v>
      </c>
      <c r="I52" s="22">
        <v>0.52</v>
      </c>
      <c r="J52" s="22">
        <v>0.35499999999999998</v>
      </c>
      <c r="K52" s="24">
        <f>IF(I52&gt;=(J52*1.2),(((((I52/0.5325)^2)*0.25)+(((I52/J52)^2)*0.75))*(0.25))*(0.15),0)</f>
        <v>6.9285194736494096E-2</v>
      </c>
      <c r="L52" s="4">
        <v>960</v>
      </c>
      <c r="M52" s="4">
        <f>(D52*(L52^2))/450437</f>
        <v>300.76392481079483</v>
      </c>
      <c r="N52" s="24">
        <f>(((M52/100)/2)*0.1)</f>
        <v>0.15038196240539742</v>
      </c>
      <c r="O52" s="4">
        <v>18</v>
      </c>
      <c r="P52" s="4">
        <v>17</v>
      </c>
      <c r="Q52" s="24">
        <f>((O52/15)*0.4)+(((P52*0.1)*0.25)/15)*0.4</f>
        <v>0.49133333333333329</v>
      </c>
      <c r="R52" s="4">
        <f>M52*O52</f>
        <v>5413.750646594307</v>
      </c>
    </row>
    <row r="53" spans="1:52" x14ac:dyDescent="0.25">
      <c r="A53" t="s">
        <v>75</v>
      </c>
      <c r="B53" t="s">
        <v>166</v>
      </c>
      <c r="C53" s="2">
        <f>(IF(AND(G53&gt;=13.5,G53&lt;24,I53&gt;=(J53*1.2),E53/D53&gt;=0.85),
(N53
+H53
+K53
+Q53
+F53)*100,
(0.75*(N53
+H53
+K53
+Q53
+F53)*100)))</f>
        <v>124.81505708260785</v>
      </c>
      <c r="D53" s="4">
        <v>147</v>
      </c>
      <c r="E53" s="4">
        <v>147</v>
      </c>
      <c r="F53" s="24">
        <f>IF(E53/D53&gt;=(D53*0.85),(E53/D53)*0.15,((E53/D53)/0.85)*0.15)</f>
        <v>0.17647058823529413</v>
      </c>
      <c r="G53" s="3">
        <v>21.5</v>
      </c>
      <c r="H53" s="24">
        <f>IF(G53&lt;12,
    0,
    IF(G53&lt;=19,
        ((G53 - 14) / (6 ^ 1.5) * 0.15 + 0.85) * 0.4,
        IF(G53&lt;=24,
            (((19 - 14) / (6 ^ 1.5) * 0.15 + 0.85) * 0.4) +
            ((G53 - 19) / (6 ^ 1.5) * 0.15 * 0.1) * 0.4,
            IF(G53&lt;=24,
                (
                    (
                        ((19 - 14) / (6 ^ 1.5) * 0.15 + 0.85) +
                        (5 / (6 ^ 1.5) * 0.15 * 0.1)
                    ) * 0.4
                ) * (1 - ((G53 - 24) / 5)),
                0
            )
        )
    )
)</f>
        <v>0.36143303524935283</v>
      </c>
      <c r="I53" s="22">
        <v>0.51</v>
      </c>
      <c r="J53" s="22">
        <v>0.35499999999999998</v>
      </c>
      <c r="K53" s="24">
        <f>IF(I53&gt;=(J53*1.2),(((((I53/0.5325)^2)*0.25)+(((I53/J53)^2)*0.75))*(0.25))*(0.15),0)</f>
        <v>6.6646002777226737E-2</v>
      </c>
      <c r="L53" s="4">
        <v>966</v>
      </c>
      <c r="M53" s="4">
        <f>(D53*(L53^2))/450437</f>
        <v>304.53522246174271</v>
      </c>
      <c r="N53" s="24">
        <f>(((M53/100)/2)*0.1)</f>
        <v>0.15226761123087137</v>
      </c>
      <c r="O53" s="4">
        <v>18</v>
      </c>
      <c r="P53" s="4">
        <v>17</v>
      </c>
      <c r="Q53" s="24">
        <f>((O53/15)*0.4)+(((P53*0.1)*0.25)/15)*0.4</f>
        <v>0.49133333333333329</v>
      </c>
      <c r="R53" s="4">
        <f>M53*O53</f>
        <v>5481.6340043113687</v>
      </c>
    </row>
    <row r="54" spans="1:52" x14ac:dyDescent="0.25">
      <c r="A54" t="s">
        <v>77</v>
      </c>
      <c r="B54" t="s">
        <v>166</v>
      </c>
      <c r="C54" s="2">
        <f>(IF(AND(G54&gt;=13.5,G54&lt;24,I54&gt;=(J54*1.2),E54/D54&gt;=0.85),
(N54
+H54
+K54
+Q54
+F54)*100,
(0.75*(N54
+H54
+K54
+Q54
+F54)*100)))</f>
        <v>124.66587483623204</v>
      </c>
      <c r="D54" s="4">
        <v>147</v>
      </c>
      <c r="E54" s="4">
        <v>147</v>
      </c>
      <c r="F54" s="24">
        <f>IF(E54/D54&gt;=(D54*0.85),(E54/D54)*0.15,((E54/D54)/0.85)*0.15)</f>
        <v>0.17647058823529413</v>
      </c>
      <c r="G54" s="3">
        <v>18.7</v>
      </c>
      <c r="H54" s="24">
        <f>IF(G54&lt;12,
    0,
    IF(G54&lt;=19,
        ((G54 - 14) / (6 ^ 1.5) * 0.15 + 0.85) * 0.4,
        IF(G54&lt;=24,
            (((19 - 14) / (6 ^ 1.5) * 0.15 + 0.85) * 0.4) +
            ((G54 - 19) / (6 ^ 1.5) * 0.15 * 0.1) * 0.4,
            IF(G54&lt;=24,
                (
                    (
                        ((19 - 14) / (6 ^ 1.5) * 0.15 + 0.85) +
                        (5 / (6 ^ 1.5) * 0.15 * 0.1)
                    ) * 0.4
                ) * (1 - ((G54 - 24) / 5)),
                0
            )
        )
    )
)</f>
        <v>0.35918766965180154</v>
      </c>
      <c r="I54" s="22">
        <v>0.52</v>
      </c>
      <c r="J54" s="22">
        <v>0.35499999999999998</v>
      </c>
      <c r="K54" s="24">
        <f>IF(I54&gt;=(J54*1.2),(((((I54/0.5325)^2)*0.25)+(((I54/J54)^2)*0.75))*(0.25))*(0.15),0)</f>
        <v>6.9285194736494096E-2</v>
      </c>
      <c r="L54" s="4">
        <v>960</v>
      </c>
      <c r="M54" s="4">
        <f>(D54*(L54^2))/450437</f>
        <v>300.76392481079483</v>
      </c>
      <c r="N54" s="24">
        <f>(((M54/100)/2)*0.1)</f>
        <v>0.15038196240539742</v>
      </c>
      <c r="O54" s="4">
        <v>18</v>
      </c>
      <c r="P54" s="4">
        <v>17</v>
      </c>
      <c r="Q54" s="24">
        <f>((O54/15)*0.4)+(((P54*0.1)*0.25)/15)*0.4</f>
        <v>0.49133333333333329</v>
      </c>
      <c r="R54" s="4">
        <f>M54*O54</f>
        <v>5413.750646594307</v>
      </c>
    </row>
    <row r="55" spans="1:52" x14ac:dyDescent="0.25">
      <c r="A55" t="s">
        <v>56</v>
      </c>
      <c r="B55" t="s">
        <v>166</v>
      </c>
      <c r="C55" s="2">
        <f>(IF(AND(G55&gt;=13.5,G55&lt;24,I55&gt;=(J55*1.2),E55/D55&gt;=0.85),
(N55
+H55
+K55
+Q55
+F55)*100,
(0.75*(N55
+H55
+K55
+Q55
+F55)*100)))</f>
        <v>124.6293434561027</v>
      </c>
      <c r="D55" s="4">
        <v>115</v>
      </c>
      <c r="E55" s="4">
        <v>115</v>
      </c>
      <c r="F55" s="24">
        <f>IF(E55/D55&gt;=(D55*0.85),(E55/D55)*0.15,((E55/D55)/0.85)*0.15)</f>
        <v>0.17647058823529413</v>
      </c>
      <c r="G55" s="3">
        <v>19</v>
      </c>
      <c r="H55" s="24">
        <f>IF(G55&lt;12,
    0,
    IF(G55&lt;=19,
        ((G55 - 14) / (6 ^ 1.5) * 0.15 + 0.85) * 0.4,
        IF(G55&lt;=24,
            (((19 - 14) / (6 ^ 1.5) * 0.15 + 0.85) * 0.4) +
            ((G55 - 19) / (6 ^ 1.5) * 0.15 * 0.1) * 0.4,
            IF(G55&lt;=24,
                (
                    (
                        ((19 - 14) / (6 ^ 1.5) * 0.15 + 0.85) +
                        (5 / (6 ^ 1.5) * 0.15 * 0.1)
                    ) * 0.4
                ) * (1 - ((G55 - 24) / 5)),
                0
            )
        )
    )
)</f>
        <v>0.36041241452319317</v>
      </c>
      <c r="I55" s="22">
        <v>0.45</v>
      </c>
      <c r="J55" s="22">
        <v>0.35499999999999998</v>
      </c>
      <c r="K55" s="24">
        <f>IF(I55&gt;=(J55*1.2),(((((I55/0.5325)^2)*0.25)+(((I55/J55)^2)*0.75))*(0.25))*(0.15),0)</f>
        <v>5.1887026383654035E-2</v>
      </c>
      <c r="L55" s="4">
        <v>1141</v>
      </c>
      <c r="M55" s="4">
        <f>(D55*(L55^2))/450437</f>
        <v>332.38014417110497</v>
      </c>
      <c r="N55" s="24">
        <f>(((M55/100)/2)*0.1)</f>
        <v>0.16619007208555248</v>
      </c>
      <c r="O55" s="4">
        <v>18</v>
      </c>
      <c r="P55" s="4">
        <v>17</v>
      </c>
      <c r="Q55" s="24">
        <f>((O55/15)*0.4)+(((P55*0.1)*0.25)/15)*0.4</f>
        <v>0.49133333333333329</v>
      </c>
      <c r="R55" s="4">
        <f>M55*O55</f>
        <v>5982.8425950798892</v>
      </c>
    </row>
    <row r="56" spans="1:52" x14ac:dyDescent="0.25">
      <c r="A56" t="s">
        <v>114</v>
      </c>
      <c r="B56" t="s">
        <v>167</v>
      </c>
      <c r="C56" s="2">
        <f>(IF(AND(G56&gt;=13.5,G56&lt;24,I56&gt;=(J56*1.2),E56/D56&gt;=0.85),
(N56
+H56
+K56
+Q56
+F56)*100,
(0.75*(N56
+H56
+K56
+Q56
+F56)*100)))</f>
        <v>124.60530919541651</v>
      </c>
      <c r="D56" s="4">
        <v>180</v>
      </c>
      <c r="E56" s="4">
        <v>180</v>
      </c>
      <c r="F56" s="24">
        <f>IF(E56/D56&gt;=(D56*0.85),(E56/D56)*0.15,((E56/D56)/0.85)*0.15)</f>
        <v>0.17647058823529413</v>
      </c>
      <c r="G56" s="3">
        <v>16.899999999999999</v>
      </c>
      <c r="H56" s="24">
        <f>IF(G56&lt;12,
    0,
    IF(G56&lt;=19,
        ((G56 - 14) / (6 ^ 1.5) * 0.15 + 0.85) * 0.4,
        IF(G56&lt;=24,
            (((19 - 14) / (6 ^ 1.5) * 0.15 + 0.85) * 0.4) +
            ((G56 - 19) / (6 ^ 1.5) * 0.15 * 0.1) * 0.4,
            IF(G56&lt;=24,
                (
                    (
                        ((19 - 14) / (6 ^ 1.5) * 0.15 + 0.85) +
                        (5 / (6 ^ 1.5) * 0.15 * 0.1)
                    ) * 0.4
                ) * (1 - ((G56 - 24) / 5)),
                0
            )
        )
    )
)</f>
        <v>0.35183920042345207</v>
      </c>
      <c r="I56" s="22">
        <v>0.72</v>
      </c>
      <c r="J56" s="22">
        <v>0.4</v>
      </c>
      <c r="K56" s="24">
        <f>IF(I56&gt;=(J56*1.2),(((((I56/0.5325)^2)*0.25)+(((I56/J56)^2)*0.75))*(0.25))*(0.15),0)</f>
        <v>0.10826445645705217</v>
      </c>
      <c r="L56" s="4">
        <v>930</v>
      </c>
      <c r="M56" s="4">
        <f>(D56*(L56^2))/450437</f>
        <v>345.62436034339987</v>
      </c>
      <c r="N56" s="24">
        <f>(((M56/100)/2)*0.1)</f>
        <v>0.17281218017169994</v>
      </c>
      <c r="O56" s="4">
        <v>16</v>
      </c>
      <c r="P56" s="4">
        <v>15</v>
      </c>
      <c r="Q56" s="24">
        <f>((O56/15)*0.4)+(((P56*0.1)*0.25)/15)*0.4</f>
        <v>0.4366666666666667</v>
      </c>
      <c r="R56" s="4">
        <f>M56*O56</f>
        <v>5529.9897654943979</v>
      </c>
    </row>
    <row r="57" spans="1:52" x14ac:dyDescent="0.25">
      <c r="A57" t="s">
        <v>44</v>
      </c>
      <c r="B57" t="s">
        <v>166</v>
      </c>
      <c r="C57" s="2">
        <f>(IF(AND(G57&gt;=13.5,G57&lt;24,I57&gt;=(J57*1.2),E57/D57&gt;=0.85),
(N57
+H57
+K57
+Q57
+F57)*100,
(0.75*(N57
+H57
+K57
+Q57
+F57)*100)))</f>
        <v>124.60312971137219</v>
      </c>
      <c r="D57" s="4">
        <v>124</v>
      </c>
      <c r="E57" s="4">
        <v>124</v>
      </c>
      <c r="F57" s="24">
        <f>IF(E57/D57&gt;=(D57*0.85),(E57/D57)*0.15,((E57/D57)/0.85)*0.15)</f>
        <v>0.17647058823529413</v>
      </c>
      <c r="G57" s="3">
        <v>19.7</v>
      </c>
      <c r="H57" s="24">
        <f>IF(G57&lt;12,
    0,
    IF(G57&lt;=19,
        ((G57 - 14) / (6 ^ 1.5) * 0.15 + 0.85) * 0.4,
        IF(G57&lt;=24,
            (((19 - 14) / (6 ^ 1.5) * 0.15 + 0.85) * 0.4) +
            ((G57 - 19) / (6 ^ 1.5) * 0.15 * 0.1) * 0.4,
            IF(G57&lt;=24,
                (
                    (
                        ((19 - 14) / (6 ^ 1.5) * 0.15 + 0.85) +
                        (5 / (6 ^ 1.5) * 0.15 * 0.1)
                    ) * 0.4
                ) * (1 - ((G57 - 24) / 5)),
                0
            )
        )
    )
)</f>
        <v>0.3606981883265179</v>
      </c>
      <c r="I57" s="22">
        <v>0.45</v>
      </c>
      <c r="J57" s="22">
        <v>0.35499999999999998</v>
      </c>
      <c r="K57" s="24">
        <f>IF(I57&gt;=(J57*1.2),(((((I57/0.5325)^2)*0.25)+(((I57/J57)^2)*0.75))*(0.25))*(0.15),0)</f>
        <v>5.1887026383654035E-2</v>
      </c>
      <c r="L57" s="4">
        <v>1097</v>
      </c>
      <c r="M57" s="4">
        <f>(D57*(L57^2))/450437</f>
        <v>331.28432166984504</v>
      </c>
      <c r="N57" s="24">
        <f>(((M57/100)/2)*0.1)</f>
        <v>0.16564216083492253</v>
      </c>
      <c r="O57" s="4">
        <v>18</v>
      </c>
      <c r="P57" s="4">
        <v>17</v>
      </c>
      <c r="Q57" s="24">
        <f>((O57/15)*0.4)+(((P57*0.1)*0.25)/15)*0.4</f>
        <v>0.49133333333333329</v>
      </c>
      <c r="R57" s="4">
        <f>M57*O57</f>
        <v>5963.1177900572111</v>
      </c>
    </row>
    <row r="58" spans="1:52" x14ac:dyDescent="0.25">
      <c r="A58" t="s">
        <v>115</v>
      </c>
      <c r="B58" t="s">
        <v>167</v>
      </c>
      <c r="C58" s="2">
        <f>(IF(AND(G58&gt;=13.5,G58&lt;24,I58&gt;=(J58*1.2),E58/D58&gt;=0.85),
(N58
+H58
+K58
+Q58
+F58)*100,
(0.75*(N58
+H58
+K58
+Q58
+F58)*100)))</f>
        <v>124.43974720842937</v>
      </c>
      <c r="D58" s="4">
        <v>180</v>
      </c>
      <c r="E58" s="4">
        <v>180</v>
      </c>
      <c r="F58" s="24">
        <f>IF(E58/D58&gt;=(D58*0.85),(E58/D58)*0.15,((E58/D58)/0.85)*0.15)</f>
        <v>0.17647058823529413</v>
      </c>
      <c r="G58" s="3">
        <v>16.2</v>
      </c>
      <c r="H58" s="24">
        <f>IF(G58&lt;12,
    0,
    IF(G58&lt;=19,
        ((G58 - 14) / (6 ^ 1.5) * 0.15 + 0.85) * 0.4,
        IF(G58&lt;=24,
            (((19 - 14) / (6 ^ 1.5) * 0.15 + 0.85) * 0.4) +
            ((G58 - 19) / (6 ^ 1.5) * 0.15 * 0.1) * 0.4,
            IF(G58&lt;=24,
                (
                    (
                        ((19 - 14) / (6 ^ 1.5) * 0.15 + 0.85) +
                        (5 / (6 ^ 1.5) * 0.15 * 0.1)
                    ) * 0.4
                ) * (1 - ((G58 - 24) / 5)),
                0
            )
        )
    )
)</f>
        <v>0.348981462390205</v>
      </c>
      <c r="I58" s="22">
        <v>0.7</v>
      </c>
      <c r="J58" s="22">
        <v>0.4</v>
      </c>
      <c r="K58" s="24">
        <f>IF(I58&gt;=(J58*1.2),(((((I58/0.5325)^2)*0.25)+(((I58/J58)^2)*0.75))*(0.25))*(0.15),0)</f>
        <v>0.10233330182090189</v>
      </c>
      <c r="L58" s="4">
        <v>949</v>
      </c>
      <c r="M58" s="4">
        <f>(D58*(L58^2))/450437</f>
        <v>359.89090594245147</v>
      </c>
      <c r="N58" s="24">
        <f>(((M58/100)/2)*0.1)</f>
        <v>0.17994545297122574</v>
      </c>
      <c r="O58" s="4">
        <v>16</v>
      </c>
      <c r="P58" s="4">
        <v>15</v>
      </c>
      <c r="Q58" s="24">
        <f>((O58/15)*0.4)+(((P58*0.1)*0.25)/15)*0.4</f>
        <v>0.4366666666666667</v>
      </c>
      <c r="R58" s="4">
        <f>M58*O58</f>
        <v>5758.2544950792235</v>
      </c>
    </row>
    <row r="59" spans="1:52" x14ac:dyDescent="0.25">
      <c r="A59" t="s">
        <v>46</v>
      </c>
      <c r="B59" t="s">
        <v>166</v>
      </c>
      <c r="C59" s="2">
        <f>(IF(AND(G59&gt;=13.5,G59&lt;24,I59&gt;=(J59*1.2),E59/D59&gt;=0.85),
(N59
+H59
+K59
+Q59
+F59)*100,
(0.75*(N59
+H59
+K59
+Q59
+F59)*100)))</f>
        <v>124.17536654314121</v>
      </c>
      <c r="D59" s="4">
        <v>135</v>
      </c>
      <c r="E59" s="4">
        <v>135</v>
      </c>
      <c r="F59" s="24">
        <f>IF(E59/D59&gt;=(D59*0.85),(E59/D59)*0.15,((E59/D59)/0.85)*0.15)</f>
        <v>0.17647058823529413</v>
      </c>
      <c r="G59" s="3">
        <v>19</v>
      </c>
      <c r="H59" s="24">
        <f>IF(G59&lt;12,
    0,
    IF(G59&lt;=19,
        ((G59 - 14) / (6 ^ 1.5) * 0.15 + 0.85) * 0.4,
        IF(G59&lt;=24,
            (((19 - 14) / (6 ^ 1.5) * 0.15 + 0.85) * 0.4) +
            ((G59 - 19) / (6 ^ 1.5) * 0.15 * 0.1) * 0.4,
            IF(G59&lt;=24,
                (
                    (
                        ((19 - 14) / (6 ^ 1.5) * 0.15 + 0.85) +
                        (5 / (6 ^ 1.5) * 0.15 * 0.1)
                    ) * 0.4
                ) * (1 - ((G59 - 24) / 5)),
                0
            )
        )
    )
)</f>
        <v>0.36041241452319317</v>
      </c>
      <c r="I59" s="22">
        <v>0.43</v>
      </c>
      <c r="J59" s="22">
        <v>0.35499999999999998</v>
      </c>
      <c r="K59" s="24">
        <f>IF(I59&gt;=(J59*1.2),(((((I59/0.5325)^2)*0.25)+(((I59/J59)^2)*0.75))*(0.25))*(0.15),0)</f>
        <v>4.7377339152284599E-2</v>
      </c>
      <c r="L59" s="4">
        <v>1053</v>
      </c>
      <c r="M59" s="4">
        <f>(D59*(L59^2))/450437</f>
        <v>332.31998037461398</v>
      </c>
      <c r="N59" s="24">
        <f>(((M59/100)/2)*0.1)</f>
        <v>0.16615999018730698</v>
      </c>
      <c r="O59" s="4">
        <v>18</v>
      </c>
      <c r="P59" s="4">
        <v>17</v>
      </c>
      <c r="Q59" s="24">
        <f>((O59/15)*0.4)+(((P59*0.1)*0.25)/15)*0.4</f>
        <v>0.49133333333333329</v>
      </c>
      <c r="R59" s="4">
        <f>M59*O59</f>
        <v>5981.7596467430512</v>
      </c>
    </row>
    <row r="60" spans="1:52" x14ac:dyDescent="0.25">
      <c r="A60" t="s">
        <v>84</v>
      </c>
      <c r="B60" t="s">
        <v>167</v>
      </c>
      <c r="C60" s="2">
        <f>(IF(AND(G60&gt;=13.5,G60&lt;24,I60&gt;=(J60*1.2),E60/D60&gt;=0.85),
(N60
+H60
+K60
+Q60
+F60)*100,
(0.75*(N60
+H60
+K60
+Q60
+F60)*100)))</f>
        <v>123.96152173513497</v>
      </c>
      <c r="D60" s="4">
        <v>165</v>
      </c>
      <c r="E60" s="4">
        <v>165</v>
      </c>
      <c r="F60" s="24">
        <f>IF(E60/D60&gt;=(D60*0.85),(E60/D60)*0.15,((E60/D60)/0.85)*0.15)</f>
        <v>0.17647058823529413</v>
      </c>
      <c r="G60" s="3">
        <v>14</v>
      </c>
      <c r="H60" s="24">
        <f>IF(G60&lt;12,
    0,
    IF(G60&lt;=19,
        ((G60 - 14) / (6 ^ 1.5) * 0.15 + 0.85) * 0.4,
        IF(G60&lt;=24,
            (((19 - 14) / (6 ^ 1.5) * 0.15 + 0.85) * 0.4) +
            ((G60 - 19) / (6 ^ 1.5) * 0.15 * 0.1) * 0.4,
            IF(G60&lt;=24,
                (
                    (
                        ((19 - 14) / (6 ^ 1.5) * 0.15 + 0.85) +
                        (5 / (6 ^ 1.5) * 0.15 * 0.1)
                    ) * 0.4
                ) * (1 - ((G60 - 24) / 5)),
                0
            )
        )
    )
)</f>
        <v>0.34</v>
      </c>
      <c r="I60" s="22">
        <v>0.73</v>
      </c>
      <c r="J60" s="22">
        <v>0.4</v>
      </c>
      <c r="K60" s="24">
        <f>IF(I60&gt;=(J60*1.2),(((((I60/0.5325)^2)*0.25)+(((I60/J60)^2)*0.75))*(0.25))*(0.15),0)</f>
        <v>0.11129268681705845</v>
      </c>
      <c r="L60" s="4">
        <v>978</v>
      </c>
      <c r="M60" s="4">
        <f>(D60*(L60^2))/450437</f>
        <v>350.37055126466078</v>
      </c>
      <c r="N60" s="24">
        <f>(((M60/100)/2)*0.1)</f>
        <v>0.17518527563233041</v>
      </c>
      <c r="O60" s="4">
        <v>16</v>
      </c>
      <c r="P60" s="4">
        <v>15</v>
      </c>
      <c r="Q60" s="24">
        <f>((O60/15)*0.4)+(((P60*0.1)*0.25)/15)*0.4</f>
        <v>0.4366666666666667</v>
      </c>
      <c r="R60" s="4">
        <f>M60*O60</f>
        <v>5605.9288202345724</v>
      </c>
    </row>
    <row r="61" spans="1:52" s="13" customFormat="1" x14ac:dyDescent="0.25">
      <c r="A61" t="s">
        <v>40</v>
      </c>
      <c r="B61" t="s">
        <v>166</v>
      </c>
      <c r="C61" s="2">
        <f>(IF(AND(G61&gt;=13.5,G61&lt;24,I61&gt;=(J61*1.2),E61/D61&gt;=0.85),
(N61
+H61
+K61
+Q61
+F61)*100,
(0.75*(N61
+H61
+K61
+Q61
+F61)*100)))</f>
        <v>123.38366704215041</v>
      </c>
      <c r="D61" s="4">
        <v>124</v>
      </c>
      <c r="E61" s="4">
        <v>124</v>
      </c>
      <c r="F61" s="24">
        <f>IF(E61/D61&gt;=(D61*0.85),(E61/D61)*0.15,((E61/D61)/0.85)*0.15)</f>
        <v>0.17647058823529413</v>
      </c>
      <c r="G61" s="3">
        <v>17.899999999999999</v>
      </c>
      <c r="H61" s="24">
        <f>IF(G61&lt;12,
    0,
    IF(G61&lt;=19,
        ((G61 - 14) / (6 ^ 1.5) * 0.15 + 0.85) * 0.4,
        IF(G61&lt;=24,
            (((19 - 14) / (6 ^ 1.5) * 0.15 + 0.85) * 0.4) +
            ((G61 - 19) / (6 ^ 1.5) * 0.15 * 0.1) * 0.4,
            IF(G61&lt;=24,
                (
                    (
                        ((19 - 14) / (6 ^ 1.5) * 0.15 + 0.85) +
                        (5 / (6 ^ 1.5) * 0.15 * 0.1)
                    ) * 0.4
                ) * (1 - ((G61 - 24) / 5)),
                0
            )
        )
    )
)</f>
        <v>0.35592168332809065</v>
      </c>
      <c r="I61" s="22">
        <v>0.49</v>
      </c>
      <c r="J61" s="22">
        <v>0.35499999999999998</v>
      </c>
      <c r="K61" s="24">
        <f>IF(I61&gt;=(J61*1.2),(((((I61/0.5325)^2)*0.25)+(((I61/J61)^2)*0.75))*(0.25))*(0.15),0)</f>
        <v>6.1521358196125094E-2</v>
      </c>
      <c r="L61" s="4">
        <v>1039</v>
      </c>
      <c r="M61" s="4">
        <f>(D61*(L61^2))/450437</f>
        <v>297.17941465732167</v>
      </c>
      <c r="N61" s="24">
        <f>(((M61/100)/2)*0.1)</f>
        <v>0.14858970732866084</v>
      </c>
      <c r="O61" s="4">
        <v>18</v>
      </c>
      <c r="P61" s="4">
        <v>17</v>
      </c>
      <c r="Q61" s="24">
        <f>((O61/15)*0.4)+(((P61*0.1)*0.25)/15)*0.4</f>
        <v>0.49133333333333329</v>
      </c>
      <c r="R61" s="4">
        <f>M61*O61</f>
        <v>5349.2294638317899</v>
      </c>
      <c r="S61"/>
      <c r="T61"/>
      <c r="U61"/>
      <c r="V61"/>
      <c r="W61"/>
      <c r="X61"/>
      <c r="Y61"/>
      <c r="Z61"/>
      <c r="AA61"/>
      <c r="AB61"/>
      <c r="AC61"/>
      <c r="AD61"/>
      <c r="AE61"/>
      <c r="AF61"/>
      <c r="AG61"/>
      <c r="AH61"/>
      <c r="AI61"/>
      <c r="AJ61"/>
      <c r="AK61"/>
      <c r="AL61"/>
      <c r="AM61"/>
      <c r="AN61"/>
      <c r="AO61"/>
      <c r="AP61"/>
      <c r="AQ61"/>
      <c r="AR61"/>
      <c r="AS61"/>
      <c r="AT61"/>
      <c r="AU61"/>
      <c r="AV61"/>
      <c r="AW61"/>
      <c r="AX61"/>
      <c r="AY61"/>
      <c r="AZ61"/>
    </row>
    <row r="62" spans="1:52" x14ac:dyDescent="0.25">
      <c r="A62" t="s">
        <v>88</v>
      </c>
      <c r="B62" t="s">
        <v>167</v>
      </c>
      <c r="C62" s="2">
        <f>(IF(AND(G62&gt;=13.5,G62&lt;24,I62&gt;=(J62*1.2),E62/D62&gt;=0.85),
(N62
+H62
+K62
+Q62
+F62)*100,
(0.75*(N62
+H62
+K62
+Q62
+F62)*100)))</f>
        <v>123.364644131811</v>
      </c>
      <c r="D62" s="4">
        <v>155</v>
      </c>
      <c r="E62" s="4">
        <v>155</v>
      </c>
      <c r="F62" s="24">
        <f>IF(E62/D62&gt;=(D62*0.85),(E62/D62)*0.15,((E62/D62)/0.85)*0.15)</f>
        <v>0.17647058823529413</v>
      </c>
      <c r="G62" s="3">
        <v>22.4</v>
      </c>
      <c r="H62" s="24">
        <f>IF(G62&lt;12,
    0,
    IF(G62&lt;=19,
        ((G62 - 14) / (6 ^ 1.5) * 0.15 + 0.85) * 0.4,
        IF(G62&lt;=24,
            (((19 - 14) / (6 ^ 1.5) * 0.15 + 0.85) * 0.4) +
            ((G62 - 19) / (6 ^ 1.5) * 0.15 * 0.1) * 0.4,
            IF(G62&lt;=24,
                (
                    (
                        ((19 - 14) / (6 ^ 1.5) * 0.15 + 0.85) +
                        (5 / (6 ^ 1.5) * 0.15 * 0.1)
                    ) * 0.4
                ) * (1 - ((G62 - 24) / 5)),
                0
            )
        )
    )
)</f>
        <v>0.36180045871077032</v>
      </c>
      <c r="I62" s="22">
        <v>0.49</v>
      </c>
      <c r="J62" s="22">
        <v>0.4</v>
      </c>
      <c r="K62" s="24">
        <f>IF(I62&gt;=(J62*1.2),(((((I62/0.5325)^2)*0.25)+(((I62/J62)^2)*0.75))*(0.25))*(0.15),0)</f>
        <v>5.014331789224194E-2</v>
      </c>
      <c r="L62" s="4">
        <v>1101</v>
      </c>
      <c r="M62" s="4">
        <f>(D62*(L62^2))/450437</f>
        <v>417.13081962627405</v>
      </c>
      <c r="N62" s="24">
        <f>(((M62/100)/2)*0.1)</f>
        <v>0.20856540981313701</v>
      </c>
      <c r="O62" s="4">
        <v>16</v>
      </c>
      <c r="P62" s="4">
        <v>15</v>
      </c>
      <c r="Q62" s="24">
        <f>((O62/15)*0.4)+(((P62*0.1)*0.25)/15)*0.4</f>
        <v>0.4366666666666667</v>
      </c>
      <c r="R62" s="4">
        <f>M62*O62</f>
        <v>6674.0931140203847</v>
      </c>
    </row>
    <row r="63" spans="1:52" x14ac:dyDescent="0.25">
      <c r="A63" t="s">
        <v>116</v>
      </c>
      <c r="B63" t="s">
        <v>167</v>
      </c>
      <c r="C63" s="2">
        <f>(IF(AND(G63&gt;=13.5,G63&lt;24,I63&gt;=(J63*1.2),E63/D63&gt;=0.85),
(N63
+H63
+K63
+Q63
+F63)*100,
(0.75*(N63
+H63
+K63
+Q63
+F63)*100)))</f>
        <v>123.17357523880335</v>
      </c>
      <c r="D63" s="4">
        <v>180</v>
      </c>
      <c r="E63" s="4">
        <v>180</v>
      </c>
      <c r="F63" s="24">
        <f>IF(E63/D63&gt;=(D63*0.85),(E63/D63)*0.15,((E63/D63)/0.85)*0.15)</f>
        <v>0.17647058823529413</v>
      </c>
      <c r="G63" s="3">
        <v>14.7</v>
      </c>
      <c r="H63" s="24">
        <f>IF(G63&lt;12,
    0,
    IF(G63&lt;=19,
        ((G63 - 14) / (6 ^ 1.5) * 0.15 + 0.85) * 0.4,
        IF(G63&lt;=24,
            (((19 - 14) / (6 ^ 1.5) * 0.15 + 0.85) * 0.4) +
            ((G63 - 19) / (6 ^ 1.5) * 0.15 * 0.1) * 0.4,
            IF(G63&lt;=24,
                (
                    (
                        ((19 - 14) / (6 ^ 1.5) * 0.15 + 0.85) +
                        (5 / (6 ^ 1.5) * 0.15 * 0.1)
                    ) * 0.4
                ) * (1 - ((G63 - 24) / 5)),
                0
            )
        )
    )
)</f>
        <v>0.34285773803324704</v>
      </c>
      <c r="I63" s="22">
        <v>0.75</v>
      </c>
      <c r="J63" s="22">
        <v>0.4</v>
      </c>
      <c r="K63" s="24">
        <f>IF(I63&gt;=(J63*1.2),(((((I63/0.5325)^2)*0.25)+(((I63/J63)^2)*0.75))*(0.25))*(0.15),0)</f>
        <v>0.11747445362093334</v>
      </c>
      <c r="L63" s="4">
        <v>890</v>
      </c>
      <c r="M63" s="4">
        <f>(D63*(L63^2))/450437</f>
        <v>316.53261166378428</v>
      </c>
      <c r="N63" s="24">
        <f>(((M63/100)/2)*0.1)</f>
        <v>0.15826630583189216</v>
      </c>
      <c r="O63" s="4">
        <v>16</v>
      </c>
      <c r="P63" s="4">
        <v>15</v>
      </c>
      <c r="Q63" s="24">
        <f>((O63/15)*0.4)+(((P63*0.1)*0.25)/15)*0.4</f>
        <v>0.4366666666666667</v>
      </c>
      <c r="R63" s="4">
        <f>M63*O63</f>
        <v>5064.5217866205485</v>
      </c>
    </row>
    <row r="64" spans="1:52" x14ac:dyDescent="0.25">
      <c r="A64" t="s">
        <v>43</v>
      </c>
      <c r="B64" t="s">
        <v>166</v>
      </c>
      <c r="C64" s="2">
        <f>(IF(AND(G64&gt;=13.5,G64&lt;24,I64&gt;=(J64*1.2),E64/D64&gt;=0.85),
(N64
+H64
+K64
+Q64
+F64)*100,
(0.75*(N64
+H64
+K64
+Q64
+F64)*100)))</f>
        <v>123.10548771971467</v>
      </c>
      <c r="D64" s="4">
        <v>115</v>
      </c>
      <c r="E64" s="4">
        <v>115</v>
      </c>
      <c r="F64" s="24">
        <f>IF(E64/D64&gt;=(D64*0.85),(E64/D64)*0.15,((E64/D64)/0.85)*0.15)</f>
        <v>0.17647058823529413</v>
      </c>
      <c r="G64" s="3">
        <v>19</v>
      </c>
      <c r="H64" s="24">
        <f>IF(G64&lt;12,
    0,
    IF(G64&lt;=19,
        ((G64 - 14) / (6 ^ 1.5) * 0.15 + 0.85) * 0.4,
        IF(G64&lt;=24,
            (((19 - 14) / (6 ^ 1.5) * 0.15 + 0.85) * 0.4) +
            ((G64 - 19) / (6 ^ 1.5) * 0.15 * 0.1) * 0.4,
            IF(G64&lt;=24,
                (
                    (
                        ((19 - 14) / (6 ^ 1.5) * 0.15 + 0.85) +
                        (5 / (6 ^ 1.5) * 0.15 * 0.1)
                    ) * 0.4
                ) * (1 - ((G64 - 24) / 5)),
                0
            )
        )
    )
)</f>
        <v>0.36041241452319317</v>
      </c>
      <c r="I64" s="22">
        <v>0.46</v>
      </c>
      <c r="J64" s="22">
        <v>0.35499999999999998</v>
      </c>
      <c r="K64" s="24">
        <f>IF(I64&gt;=(J64*1.2),(((((I64/0.5325)^2)*0.25)+(((I64/J64)^2)*0.75))*(0.25))*(0.15),0)</f>
        <v>5.421873966805528E-2</v>
      </c>
      <c r="L64" s="4">
        <v>1079</v>
      </c>
      <c r="M64" s="4">
        <f>(D64*(L64^2))/450437</f>
        <v>297.23960287454184</v>
      </c>
      <c r="N64" s="24">
        <f>(((M64/100)/2)*0.1)</f>
        <v>0.14861980143727091</v>
      </c>
      <c r="O64" s="4">
        <v>18</v>
      </c>
      <c r="P64" s="4">
        <v>17</v>
      </c>
      <c r="Q64" s="24">
        <f>((O64/15)*0.4)+(((P64*0.1)*0.25)/15)*0.4</f>
        <v>0.49133333333333329</v>
      </c>
      <c r="R64" s="4">
        <f>M64*O64</f>
        <v>5350.3128517417535</v>
      </c>
    </row>
    <row r="65" spans="1:53" x14ac:dyDescent="0.25">
      <c r="A65" t="s">
        <v>104</v>
      </c>
      <c r="B65" t="s">
        <v>167</v>
      </c>
      <c r="C65" s="2">
        <f>(IF(AND(G65&gt;=13.5,G65&lt;24,I65&gt;=(J65*1.2),E65/D65&gt;=0.85),
(N65
+H65
+K65
+Q65
+F65)*100,
(0.75*(N65
+H65
+K65
+Q65
+F65)*100)))</f>
        <v>123.02125324120196</v>
      </c>
      <c r="D65" s="4">
        <v>165</v>
      </c>
      <c r="E65" s="4">
        <v>165</v>
      </c>
      <c r="F65" s="24">
        <f>IF(E65/D65&gt;=(D65*0.85),(E65/D65)*0.15,((E65/D65)/0.85)*0.15)</f>
        <v>0.17647058823529413</v>
      </c>
      <c r="G65" s="3">
        <v>20.2</v>
      </c>
      <c r="H65" s="24">
        <f>IF(G65&lt;12,
    0,
    IF(G65&lt;=19,
        ((G65 - 14) / (6 ^ 1.5) * 0.15 + 0.85) * 0.4,
        IF(G65&lt;=24,
            (((19 - 14) / (6 ^ 1.5) * 0.15 + 0.85) * 0.4) +
            ((G65 - 19) / (6 ^ 1.5) * 0.15 * 0.1) * 0.4,
            IF(G65&lt;=24,
                (
                    (
                        ((19 - 14) / (6 ^ 1.5) * 0.15 + 0.85) +
                        (5 / (6 ^ 1.5) * 0.15 * 0.1)
                    ) * 0.4
                ) * (1 - ((G65 - 24) / 5)),
                0
            )
        )
    )
)</f>
        <v>0.36090231247174981</v>
      </c>
      <c r="I65" s="22">
        <v>0.56999999999999995</v>
      </c>
      <c r="J65" s="22">
        <v>0.4</v>
      </c>
      <c r="K65" s="24">
        <f>IF(I65&gt;=(J65*1.2),(((((I65/0.5325)^2)*0.25)+(((I65/J65)^2)*0.75))*(0.25))*(0.15),0)</f>
        <v>6.7853244411451089E-2</v>
      </c>
      <c r="L65" s="4">
        <v>1014</v>
      </c>
      <c r="M65" s="4">
        <f>(D65*(L65^2))/450437</f>
        <v>376.63944125371586</v>
      </c>
      <c r="N65" s="24">
        <f>(((M65/100)/2)*0.1)</f>
        <v>0.18831972062685795</v>
      </c>
      <c r="O65" s="4">
        <v>16</v>
      </c>
      <c r="P65" s="4">
        <v>15</v>
      </c>
      <c r="Q65" s="24">
        <f>((O65/15)*0.4)+(((P65*0.1)*0.25)/15)*0.4</f>
        <v>0.4366666666666667</v>
      </c>
      <c r="R65" s="4">
        <f>M65*O65</f>
        <v>6026.2310600594537</v>
      </c>
    </row>
    <row r="66" spans="1:53" x14ac:dyDescent="0.25">
      <c r="A66" t="s">
        <v>131</v>
      </c>
      <c r="B66" t="s">
        <v>169</v>
      </c>
      <c r="C66" s="2">
        <f>(IF(AND(G66&gt;=13.5,G66&lt;24,I66&gt;=(J66*1.2),E66/D66&gt;=0.85),
(N66
+H66
+K66
+Q66
+F66)*100,
(0.75*(N66
+H66
+K66
+Q66
+F66)*100)))</f>
        <v>122.80562089799368</v>
      </c>
      <c r="D66" s="4">
        <v>230</v>
      </c>
      <c r="E66" s="4">
        <v>230</v>
      </c>
      <c r="F66" s="24">
        <f>IF(E66/D66&gt;=(D66*0.85),(E66/D66)*0.15,((E66/D66)/0.85)*0.15)</f>
        <v>0.17647058823529413</v>
      </c>
      <c r="G66" s="3">
        <v>14.6</v>
      </c>
      <c r="H66" s="24">
        <f>IF(G66&lt;12,
    0,
    IF(G66&lt;=19,
        ((G66 - 14) / (6 ^ 1.5) * 0.15 + 0.85) * 0.4,
        IF(G66&lt;=24,
            (((19 - 14) / (6 ^ 1.5) * 0.15 + 0.85) * 0.4) +
            ((G66 - 19) / (6 ^ 1.5) * 0.15 * 0.1) * 0.4,
            IF(G66&lt;=24,
                (
                    (
                        ((19 - 14) / (6 ^ 1.5) * 0.15 + 0.85) +
                        (5 / (6 ^ 1.5) * 0.15 * 0.1)
                    ) * 0.4
                ) * (1 - ((G66 - 24) / 5)),
                0
            )
        )
    )
)</f>
        <v>0.34244948974278322</v>
      </c>
      <c r="I66" s="22">
        <v>0.86</v>
      </c>
      <c r="J66" s="22">
        <v>0.45200000000000001</v>
      </c>
      <c r="K66" s="24">
        <f>IF(I66&gt;=(J66*1.2),(((((I66/0.5325)^2)*0.25)+(((I66/J66)^2)*0.75))*(0.25))*(0.15),0)</f>
        <v>0.12626800737968807</v>
      </c>
      <c r="L66" s="4">
        <v>887</v>
      </c>
      <c r="M66" s="4">
        <f>(D66*(L66^2))/450437</f>
        <v>401.73624724434274</v>
      </c>
      <c r="N66" s="24">
        <f>(((M66/100)/2)*0.1)</f>
        <v>0.20086812362217135</v>
      </c>
      <c r="O66" s="4">
        <v>14</v>
      </c>
      <c r="P66" s="4">
        <v>13</v>
      </c>
      <c r="Q66" s="24">
        <f>((O66/15)*0.4)+(((P66*0.1)*0.25)/15)*0.4</f>
        <v>0.38200000000000001</v>
      </c>
      <c r="R66" s="4">
        <f>M66*O66</f>
        <v>5624.3074614207981</v>
      </c>
    </row>
    <row r="67" spans="1:53" x14ac:dyDescent="0.25">
      <c r="A67" t="s">
        <v>113</v>
      </c>
      <c r="B67" t="s">
        <v>167</v>
      </c>
      <c r="C67" s="2">
        <f>(IF(AND(G67&gt;=13.5,G67&lt;24,I67&gt;=(J67*1.2),E67/D67&gt;=0.85),
(N67
+H67
+K67
+Q67
+F67)*100,
(0.75*(N67
+H67
+K67
+Q67
+F67)*100)))</f>
        <v>122.74440645529961</v>
      </c>
      <c r="D67" s="4">
        <v>180</v>
      </c>
      <c r="E67" s="4">
        <v>180</v>
      </c>
      <c r="F67" s="24">
        <f>IF(E67/D67&gt;=(D67*0.85),(E67/D67)*0.15,((E67/D67)/0.85)*0.15)</f>
        <v>0.17647058823529413</v>
      </c>
      <c r="G67" s="3">
        <v>14.7</v>
      </c>
      <c r="H67" s="24">
        <f>IF(G67&lt;12,
    0,
    IF(G67&lt;=19,
        ((G67 - 14) / (6 ^ 1.5) * 0.15 + 0.85) * 0.4,
        IF(G67&lt;=24,
            (((19 - 14) / (6 ^ 1.5) * 0.15 + 0.85) * 0.4) +
            ((G67 - 19) / (6 ^ 1.5) * 0.15 * 0.1) * 0.4,
            IF(G67&lt;=24,
                (
                    (
                        ((19 - 14) / (6 ^ 1.5) * 0.15 + 0.85) +
                        (5 / (6 ^ 1.5) * 0.15 * 0.1)
                    ) * 0.4
                ) * (1 - ((G67 - 24) / 5)),
                0
            )
        )
    )
)</f>
        <v>0.34285773803324704</v>
      </c>
      <c r="I67" s="22">
        <v>0.7</v>
      </c>
      <c r="J67" s="22">
        <v>0.4</v>
      </c>
      <c r="K67" s="24">
        <f>IF(I67&gt;=(J67*1.2),(((((I67/0.5325)^2)*0.25)+(((I67/J67)^2)*0.75))*(0.25))*(0.15),0)</f>
        <v>0.10233330182090189</v>
      </c>
      <c r="L67" s="4">
        <v>920</v>
      </c>
      <c r="M67" s="4">
        <f>(D67*(L67^2))/450437</f>
        <v>338.23153959377225</v>
      </c>
      <c r="N67" s="24">
        <f>(((M67/100)/2)*0.1)</f>
        <v>0.16911576979688614</v>
      </c>
      <c r="O67" s="4">
        <v>16</v>
      </c>
      <c r="P67" s="4">
        <v>15</v>
      </c>
      <c r="Q67" s="24">
        <f>((O67/15)*0.4)+(((P67*0.1)*0.25)/15)*0.4</f>
        <v>0.4366666666666667</v>
      </c>
      <c r="R67" s="4">
        <f>M67*O67</f>
        <v>5411.7046335003561</v>
      </c>
    </row>
    <row r="68" spans="1:53" x14ac:dyDescent="0.25">
      <c r="A68" t="s">
        <v>33</v>
      </c>
      <c r="B68" t="s">
        <v>166</v>
      </c>
      <c r="C68" s="2">
        <f>(IF(AND(G68&gt;=13.5,G68&lt;24,I68&gt;=(J68*1.2),E68/D68&gt;=0.85),
(N68
+H68
+K68
+Q68
+F68)*100,
(0.75*(N68
+H68
+K68
+Q68
+F68)*100)))</f>
        <v>122.65817101061465</v>
      </c>
      <c r="D68" s="4">
        <v>124</v>
      </c>
      <c r="E68" s="4">
        <v>124</v>
      </c>
      <c r="F68" s="24">
        <f>IF(E68/D68&gt;=(D68*0.85),(E68/D68)*0.15,((E68/D68)/0.85)*0.15)</f>
        <v>0.17647058823529413</v>
      </c>
      <c r="G68" s="3">
        <v>18.600000000000001</v>
      </c>
      <c r="H68" s="24">
        <f>IF(G68&lt;12,
    0,
    IF(G68&lt;=19,
        ((G68 - 14) / (6 ^ 1.5) * 0.15 + 0.85) * 0.4,
        IF(G68&lt;=24,
            (((19 - 14) / (6 ^ 1.5) * 0.15 + 0.85) * 0.4) +
            ((G68 - 19) / (6 ^ 1.5) * 0.15 * 0.1) * 0.4,
            IF(G68&lt;=24,
                (
                    (
                        ((19 - 14) / (6 ^ 1.5) * 0.15 + 0.85) +
                        (5 / (6 ^ 1.5) * 0.15 * 0.1)
                    ) * 0.4
                ) * (1 - ((G68 - 24) / 5)),
                0
            )
        )
    )
)</f>
        <v>0.35877942136133772</v>
      </c>
      <c r="I68" s="22">
        <v>0.43</v>
      </c>
      <c r="J68" s="22">
        <v>0.35499999999999998</v>
      </c>
      <c r="K68" s="24">
        <f>IF(I68&gt;=(J68*1.2),(((((I68/0.5325)^2)*0.25)+(((I68/J68)^2)*0.75))*(0.25))*(0.15),0)</f>
        <v>4.7377339152284599E-2</v>
      </c>
      <c r="L68" s="4">
        <v>1053</v>
      </c>
      <c r="M68" s="4">
        <f>(D68*(L68^2))/450437</f>
        <v>305.2420560477936</v>
      </c>
      <c r="N68" s="24">
        <f>(((M68/100)/2)*0.1)</f>
        <v>0.15262102802389679</v>
      </c>
      <c r="O68" s="4">
        <v>18</v>
      </c>
      <c r="P68" s="4">
        <v>17</v>
      </c>
      <c r="Q68" s="24">
        <f>((O68/15)*0.4)+(((P68*0.1)*0.25)/15)*0.4</f>
        <v>0.49133333333333329</v>
      </c>
      <c r="R68" s="4">
        <f>M68*O68</f>
        <v>5494.3570088602846</v>
      </c>
    </row>
    <row r="69" spans="1:53" x14ac:dyDescent="0.25">
      <c r="A69" t="s">
        <v>107</v>
      </c>
      <c r="B69" t="s">
        <v>167</v>
      </c>
      <c r="C69" s="2">
        <f>(IF(AND(G69&gt;=13.5,G69&lt;24,I69&gt;=(J69*1.2),E69/D69&gt;=0.85),
(N69
+H69
+K69
+Q69
+F69)*100,
(0.75*(N69
+H69
+K69
+Q69
+F69)*100)))</f>
        <v>122.5642900069835</v>
      </c>
      <c r="D69" s="4">
        <v>180</v>
      </c>
      <c r="E69" s="4">
        <v>180</v>
      </c>
      <c r="F69" s="24">
        <f>IF(E69/D69&gt;=(D69*0.85),(E69/D69)*0.15,((E69/D69)/0.85)*0.15)</f>
        <v>0.17647058823529413</v>
      </c>
      <c r="G69" s="3">
        <v>14.5</v>
      </c>
      <c r="H69" s="24">
        <f>IF(G69&lt;12,
    0,
    IF(G69&lt;=19,
        ((G69 - 14) / (6 ^ 1.5) * 0.15 + 0.85) * 0.4,
        IF(G69&lt;=24,
            (((19 - 14) / (6 ^ 1.5) * 0.15 + 0.85) * 0.4) +
            ((G69 - 19) / (6 ^ 1.5) * 0.15 * 0.1) * 0.4,
            IF(G69&lt;=24,
                (
                    (
                        ((19 - 14) / (6 ^ 1.5) * 0.15 + 0.85) +
                        (5 / (6 ^ 1.5) * 0.15 * 0.1)
                    ) * 0.4
                ) * (1 - ((G69 - 24) / 5)),
                0
            )
        )
    )
)</f>
        <v>0.34204124145231929</v>
      </c>
      <c r="I69" s="22">
        <v>0.65</v>
      </c>
      <c r="J69" s="22">
        <v>0.4</v>
      </c>
      <c r="K69" s="24">
        <f>IF(I69&gt;=(J69*1.2),(((((I69/0.5325)^2)*0.25)+(((I69/J69)^2)*0.75))*(0.25))*(0.15),0)</f>
        <v>8.8236367386389944E-2</v>
      </c>
      <c r="L69" s="4">
        <v>955</v>
      </c>
      <c r="M69" s="4">
        <f>(D69*(L69^2))/450437</f>
        <v>364.45607265832956</v>
      </c>
      <c r="N69" s="24">
        <f>(((M69/100)/2)*0.1)</f>
        <v>0.18222803632916479</v>
      </c>
      <c r="O69" s="4">
        <v>16</v>
      </c>
      <c r="P69" s="4">
        <v>15</v>
      </c>
      <c r="Q69" s="24">
        <f>((O69/15)*0.4)+(((P69*0.1)*0.25)/15)*0.4</f>
        <v>0.4366666666666667</v>
      </c>
      <c r="R69" s="4">
        <f>M69*O69</f>
        <v>5831.297162533273</v>
      </c>
    </row>
    <row r="70" spans="1:53" x14ac:dyDescent="0.25">
      <c r="A70" t="s">
        <v>95</v>
      </c>
      <c r="B70" t="s">
        <v>167</v>
      </c>
      <c r="C70" s="2">
        <f>(IF(AND(G70&gt;=13.5,G70&lt;24,I70&gt;=(J70*1.2),E70/D70&gt;=0.85),
(N70
+H70
+K70
+Q70
+F70)*100,
(0.75*(N70
+H70
+K70
+Q70
+F70)*100)))</f>
        <v>122.17223128041577</v>
      </c>
      <c r="D70" s="4">
        <v>180</v>
      </c>
      <c r="E70" s="4">
        <v>180</v>
      </c>
      <c r="F70" s="24">
        <f>IF(E70/D70&gt;=(D70*0.85),(E70/D70)*0.15,((E70/D70)/0.85)*0.15)</f>
        <v>0.17647058823529413</v>
      </c>
      <c r="G70" s="3">
        <v>16.3</v>
      </c>
      <c r="H70" s="24">
        <f>IF(G70&lt;12,
    0,
    IF(G70&lt;=19,
        ((G70 - 14) / (6 ^ 1.5) * 0.15 + 0.85) * 0.4,
        IF(G70&lt;=24,
            (((19 - 14) / (6 ^ 1.5) * 0.15 + 0.85) * 0.4) +
            ((G70 - 19) / (6 ^ 1.5) * 0.15 * 0.1) * 0.4,
            IF(G70&lt;=24,
                (
                    (
                        ((19 - 14) / (6 ^ 1.5) * 0.15 + 0.85) +
                        (5 / (6 ^ 1.5) * 0.15 * 0.1)
                    ) * 0.4
                ) * (1 - ((G70 - 24) / 5)),
                0
            )
        )
    )
)</f>
        <v>0.34938971068066887</v>
      </c>
      <c r="I70" s="22">
        <v>0.65</v>
      </c>
      <c r="J70" s="22">
        <v>0.4</v>
      </c>
      <c r="K70" s="24">
        <f>IF(I70&gt;=(J70*1.2),(((((I70/0.5325)^2)*0.25)+(((I70/J70)^2)*0.75))*(0.25))*(0.15),0)</f>
        <v>8.8236367386389944E-2</v>
      </c>
      <c r="L70" s="4">
        <v>925</v>
      </c>
      <c r="M70" s="4">
        <f>(D70*(L70^2))/450437</f>
        <v>341.91795967027576</v>
      </c>
      <c r="N70" s="24">
        <f>(((M70/100)/2)*0.1)</f>
        <v>0.17095897983513789</v>
      </c>
      <c r="O70" s="4">
        <v>16</v>
      </c>
      <c r="P70" s="4">
        <v>15</v>
      </c>
      <c r="Q70" s="24">
        <f>((O70/15)*0.4)+(((P70*0.1)*0.25)/15)*0.4</f>
        <v>0.4366666666666667</v>
      </c>
      <c r="R70" s="4">
        <f>M70*O70</f>
        <v>5470.6873547244122</v>
      </c>
    </row>
    <row r="71" spans="1:53" x14ac:dyDescent="0.25">
      <c r="A71" t="s">
        <v>144</v>
      </c>
      <c r="B71" t="s">
        <v>169</v>
      </c>
      <c r="C71" s="2">
        <f>(IF(AND(G71&gt;=13.5,G71&lt;24,I71&gt;=(J71*1.2),E71/D71&gt;=0.85),
(N71
+H71
+K71
+Q71
+F71)*100,
(0.75*(N71
+H71
+K71
+Q71
+F71)*100)))</f>
        <v>121.38607695013593</v>
      </c>
      <c r="D71" s="4">
        <v>185</v>
      </c>
      <c r="E71" s="4">
        <v>185</v>
      </c>
      <c r="F71" s="24">
        <f>IF(E71/D71&gt;=(D71*0.85),(E71/D71)*0.15,((E71/D71)/0.85)*0.15)</f>
        <v>0.17647058823529413</v>
      </c>
      <c r="G71" s="3">
        <v>15.5</v>
      </c>
      <c r="H71" s="24">
        <f>IF(G71&lt;12,
    0,
    IF(G71&lt;=19,
        ((G71 - 14) / (6 ^ 1.5) * 0.15 + 0.85) * 0.4,
        IF(G71&lt;=24,
            (((19 - 14) / (6 ^ 1.5) * 0.15 + 0.85) * 0.4) +
            ((G71 - 19) / (6 ^ 1.5) * 0.15 * 0.1) * 0.4,
            IF(G71&lt;=24,
                (
                    (
                        ((19 - 14) / (6 ^ 1.5) * 0.15 + 0.85) +
                        (5 / (6 ^ 1.5) * 0.15 * 0.1)
                    ) * 0.4
                ) * (1 - ((G71 - 24) / 5)),
                0
            )
        )
    )
)</f>
        <v>0.34612372435695793</v>
      </c>
      <c r="I71" s="22">
        <v>0.75</v>
      </c>
      <c r="J71" s="22">
        <v>0.45200000000000001</v>
      </c>
      <c r="K71" s="24">
        <f>IF(I71&gt;=(J71*1.2),(((((I71/0.5325)^2)*0.25)+(((I71/J71)^2)*0.75))*(0.25))*(0.15),0)</f>
        <v>9.6032658397883386E-2</v>
      </c>
      <c r="L71" s="4">
        <v>1019</v>
      </c>
      <c r="M71" s="4">
        <f>(D71*(L71^2))/450437</f>
        <v>426.46759702244708</v>
      </c>
      <c r="N71" s="24">
        <f>(((M71/100)/2)*0.1)</f>
        <v>0.21323379851122357</v>
      </c>
      <c r="O71" s="4">
        <v>14</v>
      </c>
      <c r="P71" s="4">
        <v>13</v>
      </c>
      <c r="Q71" s="24">
        <f>((O71/15)*0.4)+(((P71*0.1)*0.25)/15)*0.4</f>
        <v>0.38200000000000001</v>
      </c>
      <c r="R71" s="4">
        <f>M71*O71</f>
        <v>5970.5463583142591</v>
      </c>
    </row>
    <row r="72" spans="1:53" x14ac:dyDescent="0.25">
      <c r="A72" t="s">
        <v>86</v>
      </c>
      <c r="B72" t="s">
        <v>167</v>
      </c>
      <c r="C72" s="2">
        <f>(IF(AND(G72&gt;=13.5,G72&lt;24,I72&gt;=(J72*1.2),E72/D72&gt;=0.85),
(N72
+H72
+K72
+Q72
+F72)*100,
(0.75*(N72
+H72
+K72
+Q72
+F72)*100)))</f>
        <v>121.16751217803426</v>
      </c>
      <c r="D72" s="4">
        <v>180</v>
      </c>
      <c r="E72" s="4">
        <v>180</v>
      </c>
      <c r="F72" s="24">
        <f>IF(E72/D72&gt;=(D72*0.85),(E72/D72)*0.15,((E72/D72)/0.85)*0.15)</f>
        <v>0.17647058823529413</v>
      </c>
      <c r="G72" s="3">
        <v>16.399999999999999</v>
      </c>
      <c r="H72" s="24">
        <f>IF(G72&lt;12,
    0,
    IF(G72&lt;=19,
        ((G72 - 14) / (6 ^ 1.5) * 0.15 + 0.85) * 0.4,
        IF(G72&lt;=24,
            (((19 - 14) / (6 ^ 1.5) * 0.15 + 0.85) * 0.4) +
            ((G72 - 19) / (6 ^ 1.5) * 0.15 * 0.1) * 0.4,
            IF(G72&lt;=24,
                (
                    (
                        ((19 - 14) / (6 ^ 1.5) * 0.15 + 0.85) +
                        (5 / (6 ^ 1.5) * 0.15 * 0.1)
                    ) * 0.4
                ) * (1 - ((G72 - 24) / 5)),
                0
            )
        )
    )
)</f>
        <v>0.34979795897113269</v>
      </c>
      <c r="I72" s="22">
        <v>0.6</v>
      </c>
      <c r="J72" s="22">
        <v>0.4</v>
      </c>
      <c r="K72" s="24">
        <f>IF(I72&gt;=(J72*1.2),(((((I72/0.5325)^2)*0.25)+(((I72/J72)^2)*0.75))*(0.25))*(0.15),0)</f>
        <v>7.5183650317397308E-2</v>
      </c>
      <c r="L72" s="4">
        <v>932</v>
      </c>
      <c r="M72" s="4">
        <f>(D72*(L72^2))/450437</f>
        <v>347.11251517970328</v>
      </c>
      <c r="N72" s="24">
        <f>(((M72/100)/2)*0.1)</f>
        <v>0.17355625758985166</v>
      </c>
      <c r="O72" s="4">
        <v>16</v>
      </c>
      <c r="P72" s="4">
        <v>15</v>
      </c>
      <c r="Q72" s="24">
        <f>((O72/15)*0.4)+(((P72*0.1)*0.25)/15)*0.4</f>
        <v>0.4366666666666667</v>
      </c>
      <c r="R72" s="4">
        <f>M72*O72</f>
        <v>5553.8002428752525</v>
      </c>
    </row>
    <row r="73" spans="1:53" x14ac:dyDescent="0.25">
      <c r="A73" t="s">
        <v>91</v>
      </c>
      <c r="B73" t="s">
        <v>167</v>
      </c>
      <c r="C73" s="2">
        <f>(IF(AND(G73&gt;=13.5,G73&lt;24,I73&gt;=(J73*1.2),E73/D73&gt;=0.85),
(N73
+H73
+K73
+Q73
+F73)*100,
(0.75*(N73
+H73
+K73
+Q73
+F73)*100)))</f>
        <v>120.04651051698319</v>
      </c>
      <c r="D73" s="4">
        <v>180</v>
      </c>
      <c r="E73" s="4">
        <v>180</v>
      </c>
      <c r="F73" s="24">
        <f>IF(E73/D73&gt;=(D73*0.85),(E73/D73)*0.15,((E73/D73)/0.85)*0.15)</f>
        <v>0.17647058823529413</v>
      </c>
      <c r="G73" s="3">
        <v>20.9</v>
      </c>
      <c r="H73" s="24">
        <f>IF(G73&lt;12,
    0,
    IF(G73&lt;=19,
        ((G73 - 14) / (6 ^ 1.5) * 0.15 + 0.85) * 0.4,
        IF(G73&lt;=24,
            (((19 - 14) / (6 ^ 1.5) * 0.15 + 0.85) * 0.4) +
            ((G73 - 19) / (6 ^ 1.5) * 0.15 * 0.1) * 0.4,
            IF(G73&lt;=24,
                (
                    (
                        ((19 - 14) / (6 ^ 1.5) * 0.15 + 0.85) +
                        (5 / (6 ^ 1.5) * 0.15 * 0.1)
                    ) * 0.4
                ) * (1 - ((G73 - 24) / 5)),
                0
            )
        )
    )
)</f>
        <v>0.36118808627507448</v>
      </c>
      <c r="I73" s="22">
        <v>0.5</v>
      </c>
      <c r="J73" s="22">
        <v>0.4</v>
      </c>
      <c r="K73" s="24">
        <f>IF(I73&gt;=(J73*1.2),(((((I73/0.5325)^2)*0.25)+(((I73/J73)^2)*0.75))*(0.25))*(0.15),0)</f>
        <v>5.2210868275970372E-2</v>
      </c>
      <c r="L73" s="4">
        <v>933</v>
      </c>
      <c r="M73" s="4">
        <f>(D73*(L73^2))/450437</f>
        <v>347.85779143365221</v>
      </c>
      <c r="N73" s="24">
        <f>(((M73/100)/2)*0.1)</f>
        <v>0.17392889571682613</v>
      </c>
      <c r="O73" s="4">
        <v>16</v>
      </c>
      <c r="P73" s="4">
        <v>15</v>
      </c>
      <c r="Q73" s="24">
        <f>((O73/15)*0.4)+(((P73*0.1)*0.25)/15)*0.4</f>
        <v>0.4366666666666667</v>
      </c>
      <c r="R73" s="4">
        <f>M73*O73</f>
        <v>5565.7246629384354</v>
      </c>
    </row>
    <row r="74" spans="1:53" s="17" customFormat="1" x14ac:dyDescent="0.25">
      <c r="A74" t="s">
        <v>152</v>
      </c>
      <c r="B74" t="s">
        <v>169</v>
      </c>
      <c r="C74" s="2">
        <f>(IF(AND(G74&gt;=13.5,G74&lt;24,I74&gt;=(J74*1.2),E74/D74&gt;=0.85),
(N74
+H74
+K74
+Q74
+F74)*100,
(0.75*(N74
+H74
+K74
+Q74
+F74)*100)))</f>
        <v>119.5395528031834</v>
      </c>
      <c r="D74" s="4">
        <v>200</v>
      </c>
      <c r="E74" s="4">
        <v>200</v>
      </c>
      <c r="F74" s="24">
        <f>IF(E74/D74&gt;=(D74*0.85),(E74/D74)*0.15,((E74/D74)/0.85)*0.15)</f>
        <v>0.17647058823529413</v>
      </c>
      <c r="G74" s="3">
        <v>13.8</v>
      </c>
      <c r="H74" s="24">
        <f>IF(G74&lt;12,
    0,
    IF(G74&lt;=19,
        ((G74 - 14) / (6 ^ 1.5) * 0.15 + 0.85) * 0.4,
        IF(G74&lt;=24,
            (((19 - 14) / (6 ^ 1.5) * 0.15 + 0.85) * 0.4) +
            ((G74 - 19) / (6 ^ 1.5) * 0.15 * 0.1) * 0.4,
            IF(G74&lt;=24,
                (
                    (
                        ((19 - 14) / (6 ^ 1.5) * 0.15 + 0.85) +
                        (5 / (6 ^ 1.5) * 0.15 * 0.1)
                    ) * 0.4
                ) * (1 - ((G74 - 24) / 5)),
                0
            )
        )
    )
)</f>
        <v>0.33918350341907227</v>
      </c>
      <c r="I74" s="22">
        <v>0.7</v>
      </c>
      <c r="J74" s="22">
        <v>0.45200000000000001</v>
      </c>
      <c r="K74" s="24">
        <f>IF(I74&gt;=(J74*1.2),(((((I74/0.5325)^2)*0.25)+(((I74/J74)^2)*0.75))*(0.25))*(0.15),0)</f>
        <v>8.3655115759933965E-2</v>
      </c>
      <c r="L74" s="4">
        <v>982</v>
      </c>
      <c r="M74" s="4">
        <f>(D74*(L74^2))/450437</f>
        <v>428.17264123506726</v>
      </c>
      <c r="N74" s="24">
        <f>(((M74/100)/2)*0.1)</f>
        <v>0.21408632061753363</v>
      </c>
      <c r="O74" s="4">
        <v>14</v>
      </c>
      <c r="P74" s="4">
        <v>13</v>
      </c>
      <c r="Q74" s="24">
        <f>((O74/15)*0.4)+(((P74*0.1)*0.25)/15)*0.4</f>
        <v>0.38200000000000001</v>
      </c>
      <c r="R74" s="4">
        <f>M74*O74</f>
        <v>5994.4169772909418</v>
      </c>
      <c r="S74"/>
      <c r="T74"/>
      <c r="U74"/>
      <c r="V74"/>
      <c r="W74"/>
      <c r="X74"/>
      <c r="Y74"/>
      <c r="Z74"/>
      <c r="AA74"/>
      <c r="AB74"/>
      <c r="AC74"/>
      <c r="AD74"/>
      <c r="AE74"/>
      <c r="AF74"/>
      <c r="AG74"/>
      <c r="AH74"/>
      <c r="AI74"/>
      <c r="AJ74"/>
      <c r="AK74"/>
      <c r="AL74"/>
      <c r="AM74"/>
      <c r="AN74"/>
      <c r="AO74"/>
      <c r="AP74"/>
      <c r="AQ74"/>
      <c r="AR74"/>
      <c r="AS74"/>
      <c r="AT74"/>
      <c r="AU74"/>
      <c r="AV74"/>
      <c r="AW74"/>
      <c r="AX74"/>
      <c r="AY74"/>
      <c r="AZ74"/>
      <c r="BA74"/>
    </row>
    <row r="75" spans="1:53" x14ac:dyDescent="0.25">
      <c r="A75" t="s">
        <v>128</v>
      </c>
      <c r="B75" t="s">
        <v>169</v>
      </c>
      <c r="C75" s="2">
        <f>(IF(AND(G75&gt;=13.5,G75&lt;24,I75&gt;=(J75*1.2),E75/D75&gt;=0.85),
(N75
+H75
+K75
+Q75
+F75)*100,
(0.75*(N75
+H75
+K75
+Q75
+F75)*100)))</f>
        <v>119.43264790669559</v>
      </c>
      <c r="D75" s="4">
        <v>230</v>
      </c>
      <c r="E75" s="4">
        <v>230</v>
      </c>
      <c r="F75" s="24">
        <f>IF(E75/D75&gt;=(D75*0.85),(E75/D75)*0.15,((E75/D75)/0.85)*0.15)</f>
        <v>0.17647058823529413</v>
      </c>
      <c r="G75" s="3">
        <v>14</v>
      </c>
      <c r="H75" s="24">
        <f>IF(G75&lt;12,
    0,
    IF(G75&lt;=19,
        ((G75 - 14) / (6 ^ 1.5) * 0.15 + 0.85) * 0.4,
        IF(G75&lt;=24,
            (((19 - 14) / (6 ^ 1.5) * 0.15 + 0.85) * 0.4) +
            ((G75 - 19) / (6 ^ 1.5) * 0.15 * 0.1) * 0.4,
            IF(G75&lt;=24,
                (
                    (
                        ((19 - 14) / (6 ^ 1.5) * 0.15 + 0.85) +
                        (5 / (6 ^ 1.5) * 0.15 * 0.1)
                    ) * 0.4
                ) * (1 - ((G75 - 24) / 5)),
                0
            )
        )
    )
)</f>
        <v>0.34</v>
      </c>
      <c r="I75" s="22">
        <v>0.85</v>
      </c>
      <c r="J75" s="22">
        <v>0.45200000000000001</v>
      </c>
      <c r="K75" s="24">
        <f>IF(I75&gt;=(J75*1.2),(((((I75/0.5325)^2)*0.25)+(((I75/J75)^2)*0.75))*(0.25))*(0.15),0)</f>
        <v>0.12334861456439243</v>
      </c>
      <c r="L75" s="4">
        <v>822</v>
      </c>
      <c r="M75" s="4">
        <f>(D75*(L75^2))/450437</f>
        <v>345.01455253453867</v>
      </c>
      <c r="N75" s="24">
        <f>(((M75/100)/2)*0.1)</f>
        <v>0.17250727626726936</v>
      </c>
      <c r="O75" s="4">
        <v>14</v>
      </c>
      <c r="P75" s="4">
        <v>13</v>
      </c>
      <c r="Q75" s="24">
        <f>((O75/15)*0.4)+(((P75*0.1)*0.25)/15)*0.4</f>
        <v>0.38200000000000001</v>
      </c>
      <c r="R75" s="4">
        <f>M75*O75</f>
        <v>4830.2037354835411</v>
      </c>
    </row>
    <row r="76" spans="1:53" x14ac:dyDescent="0.25">
      <c r="A76" t="s">
        <v>93</v>
      </c>
      <c r="B76" t="s">
        <v>167</v>
      </c>
      <c r="C76" s="2">
        <f>(IF(AND(G76&gt;=13.5,G76&lt;24,I76&gt;=(J76*1.2),E76/D76&gt;=0.85),
(N76
+H76
+K76
+Q76
+F76)*100,
(0.75*(N76
+H76
+K76
+Q76
+F76)*100)))</f>
        <v>119.29498819970337</v>
      </c>
      <c r="D76" s="4">
        <v>130</v>
      </c>
      <c r="E76" s="4">
        <v>130</v>
      </c>
      <c r="F76" s="24">
        <f>IF(E76/D76&gt;=(D76*0.85),(E76/D76)*0.15,((E76/D76)/0.85)*0.15)</f>
        <v>0.17647058823529413</v>
      </c>
      <c r="G76" s="3">
        <v>17.600000000000001</v>
      </c>
      <c r="H76" s="24">
        <f>IF(G76&lt;12,
    0,
    IF(G76&lt;=19,
        ((G76 - 14) / (6 ^ 1.5) * 0.15 + 0.85) * 0.4,
        IF(G76&lt;=24,
            (((19 - 14) / (6 ^ 1.5) * 0.15 + 0.85) * 0.4) +
            ((G76 - 19) / (6 ^ 1.5) * 0.15 * 0.1) * 0.4,
            IF(G76&lt;=24,
                (
                    (
                        ((19 - 14) / (6 ^ 1.5) * 0.15 + 0.85) +
                        (5 / (6 ^ 1.5) * 0.15 * 0.1)
                    ) * 0.4
                ) * (1 - ((G76 - 24) / 5)),
                0
            )
        )
    )
)</f>
        <v>0.35469693845669908</v>
      </c>
      <c r="I76" s="22">
        <v>0.53</v>
      </c>
      <c r="J76" s="22">
        <v>0.4</v>
      </c>
      <c r="K76" s="24">
        <f>IF(I76&gt;=(J76*1.2),(((((I76/0.5325)^2)*0.25)+(((I76/J76)^2)*0.75))*(0.25))*(0.15),0)</f>
        <v>5.866413159488032E-2</v>
      </c>
      <c r="L76" s="4">
        <v>1074</v>
      </c>
      <c r="M76" s="4">
        <f>(D76*(L76^2))/450437</f>
        <v>332.90311408698665</v>
      </c>
      <c r="N76" s="24">
        <f>(((M76/100)/2)*0.1)</f>
        <v>0.16645155704349335</v>
      </c>
      <c r="O76" s="4">
        <v>16</v>
      </c>
      <c r="P76" s="4">
        <v>15</v>
      </c>
      <c r="Q76" s="24">
        <f>((O76/15)*0.4)+(((P76*0.1)*0.25)/15)*0.4</f>
        <v>0.4366666666666667</v>
      </c>
      <c r="R76" s="4">
        <f>M76*O76</f>
        <v>5326.4498253917864</v>
      </c>
    </row>
    <row r="77" spans="1:53" x14ac:dyDescent="0.25">
      <c r="A77" t="s">
        <v>83</v>
      </c>
      <c r="B77" t="s">
        <v>167</v>
      </c>
      <c r="C77" s="2">
        <f>(IF(AND(G77&gt;=13.5,G77&lt;24,I77&gt;=(J77*1.2),E77/D77&gt;=0.85),
(N77
+H77
+K77
+Q77
+F77)*100,
(0.75*(N77
+H77
+K77
+Q77
+F77)*100)))</f>
        <v>119.09346379399955</v>
      </c>
      <c r="D77" s="4">
        <v>165</v>
      </c>
      <c r="E77" s="4">
        <v>165</v>
      </c>
      <c r="F77" s="24">
        <f>IF(E77/D77&gt;=(D77*0.85),(E77/D77)*0.15,((E77/D77)/0.85)*0.15)</f>
        <v>0.17647058823529413</v>
      </c>
      <c r="G77" s="3">
        <v>20.399999999999999</v>
      </c>
      <c r="H77" s="24">
        <f>IF(G77&lt;12,
    0,
    IF(G77&lt;=19,
        ((G77 - 14) / (6 ^ 1.5) * 0.15 + 0.85) * 0.4,
        IF(G77&lt;=24,
            (((19 - 14) / (6 ^ 1.5) * 0.15 + 0.85) * 0.4) +
            ((G77 - 19) / (6 ^ 1.5) * 0.15 * 0.1) * 0.4,
            IF(G77&lt;=24,
                (
                    (
                        ((19 - 14) / (6 ^ 1.5) * 0.15 + 0.85) +
                        (5 / (6 ^ 1.5) * 0.15 * 0.1)
                    ) * 0.4
                ) * (1 - ((G77 - 24) / 5)),
                0
            )
        )
    )
)</f>
        <v>0.36098396212984257</v>
      </c>
      <c r="I77" s="22">
        <v>0.5</v>
      </c>
      <c r="J77" s="22">
        <v>0.4</v>
      </c>
      <c r="K77" s="24">
        <f>IF(I77&gt;=(J77*1.2),(((((I77/0.5325)^2)*0.25)+(((I77/J77)^2)*0.75))*(0.25))*(0.15),0)</f>
        <v>5.2210868275970372E-2</v>
      </c>
      <c r="L77" s="4">
        <v>948</v>
      </c>
      <c r="M77" s="4">
        <f>(D77*(L77^2))/450437</f>
        <v>329.2051052644432</v>
      </c>
      <c r="N77" s="24">
        <f>(((M77/100)/2)*0.1)</f>
        <v>0.16460255263222162</v>
      </c>
      <c r="O77" s="4">
        <v>16</v>
      </c>
      <c r="P77" s="4">
        <v>15</v>
      </c>
      <c r="Q77" s="24">
        <f>((O77/15)*0.4)+(((P77*0.1)*0.25)/15)*0.4</f>
        <v>0.4366666666666667</v>
      </c>
      <c r="R77" s="4">
        <f>M77*O77</f>
        <v>5267.2816842310913</v>
      </c>
    </row>
    <row r="78" spans="1:53" x14ac:dyDescent="0.25">
      <c r="A78" t="s">
        <v>129</v>
      </c>
      <c r="B78" t="s">
        <v>169</v>
      </c>
      <c r="C78" s="2">
        <f>(IF(AND(G78&gt;=13.5,G78&lt;24,I78&gt;=(J78*1.2),E78/D78&gt;=0.85),
(N78
+H78
+K78
+Q78
+F78)*100,
(0.75*(N78
+H78
+K78
+Q78
+F78)*100)))</f>
        <v>119.05589356547233</v>
      </c>
      <c r="D78" s="4">
        <v>230</v>
      </c>
      <c r="E78" s="4">
        <v>230</v>
      </c>
      <c r="F78" s="24">
        <f>IF(E78/D78&gt;=(D78*0.85),(E78/D78)*0.15,((E78/D78)/0.85)*0.15)</f>
        <v>0.17647058823529413</v>
      </c>
      <c r="G78" s="3">
        <v>14.9</v>
      </c>
      <c r="H78" s="24">
        <f>IF(G78&lt;12,
    0,
    IF(G78&lt;=19,
        ((G78 - 14) / (6 ^ 1.5) * 0.15 + 0.85) * 0.4,
        IF(G78&lt;=24,
            (((19 - 14) / (6 ^ 1.5) * 0.15 + 0.85) * 0.4) +
            ((G78 - 19) / (6 ^ 1.5) * 0.15 * 0.1) * 0.4,
            IF(G78&lt;=24,
                (
                    (
                        ((19 - 14) / (6 ^ 1.5) * 0.15 + 0.85) +
                        (5 / (6 ^ 1.5) * 0.15 * 0.1)
                    ) * 0.4
                ) * (1 - ((G78 - 24) / 5)),
                0
            )
        )
    )
)</f>
        <v>0.34367423461417479</v>
      </c>
      <c r="I78" s="22">
        <v>0.79</v>
      </c>
      <c r="J78" s="22">
        <v>0.45200000000000001</v>
      </c>
      <c r="K78" s="24">
        <f>IF(I78&gt;=(J78*1.2),(((((I78/0.5325)^2)*0.25)+(((I78/J78)^2)*0.75))*(0.25))*(0.15),0)</f>
        <v>0.10654930152198935</v>
      </c>
      <c r="L78" s="4">
        <v>844</v>
      </c>
      <c r="M78" s="4">
        <f>(D78*(L78^2))/450437</f>
        <v>363.72962256652983</v>
      </c>
      <c r="N78" s="24">
        <f>(((M78/100)/2)*0.1)</f>
        <v>0.18186481128326493</v>
      </c>
      <c r="O78" s="4">
        <v>14</v>
      </c>
      <c r="P78" s="4">
        <v>13</v>
      </c>
      <c r="Q78" s="24">
        <f>((O78/15)*0.4)+(((P78*0.1)*0.25)/15)*0.4</f>
        <v>0.38200000000000001</v>
      </c>
      <c r="R78" s="4">
        <f>M78*O78</f>
        <v>5092.2147159314172</v>
      </c>
    </row>
    <row r="79" spans="1:53" x14ac:dyDescent="0.25">
      <c r="A79" t="s">
        <v>137</v>
      </c>
      <c r="B79" t="s">
        <v>169</v>
      </c>
      <c r="C79" s="2">
        <f>(IF(AND(G79&gt;=13.5,G79&lt;24,I79&gt;=(J79*1.2),E79/D79&gt;=0.85),
(N79
+H79
+K79
+Q79
+F79)*100,
(0.75*(N79
+H79
+K79
+Q79
+F79)*100)))</f>
        <v>119.02894681125353</v>
      </c>
      <c r="D79" s="4">
        <v>220</v>
      </c>
      <c r="E79" s="4">
        <v>220</v>
      </c>
      <c r="F79" s="24">
        <f>IF(E79/D79&gt;=(D79*0.85),(E79/D79)*0.15,((E79/D79)/0.85)*0.15)</f>
        <v>0.17647058823529413</v>
      </c>
      <c r="G79" s="3">
        <v>21.3</v>
      </c>
      <c r="H79" s="24">
        <f>IF(G79&lt;12,
    0,
    IF(G79&lt;=19,
        ((G79 - 14) / (6 ^ 1.5) * 0.15 + 0.85) * 0.4,
        IF(G79&lt;=24,
            (((19 - 14) / (6 ^ 1.5) * 0.15 + 0.85) * 0.4) +
            ((G79 - 19) / (6 ^ 1.5) * 0.15 * 0.1) * 0.4,
            IF(G79&lt;=24,
                (
                    (
                        ((19 - 14) / (6 ^ 1.5) * 0.15 + 0.85) +
                        (5 / (6 ^ 1.5) * 0.15 * 0.1)
                    ) * 0.4
                ) * (1 - ((G79 - 24) / 5)),
                0
            )
        )
    )
)</f>
        <v>0.36135138559126007</v>
      </c>
      <c r="I79" s="22">
        <v>0.57999999999999996</v>
      </c>
      <c r="J79" s="22">
        <v>0.45200000000000001</v>
      </c>
      <c r="K79" s="24">
        <f>IF(I79&gt;=(J79*1.2),(((((I79/0.5325)^2)*0.25)+(((I79/J79)^2)*0.75))*(0.25))*(0.15),0)</f>
        <v>5.7431797840085265E-2</v>
      </c>
      <c r="L79" s="4">
        <v>934</v>
      </c>
      <c r="M79" s="4">
        <f>(D79*(L79^2))/450437</f>
        <v>426.07139289179173</v>
      </c>
      <c r="N79" s="24">
        <f>(((M79/100)/2)*0.1)</f>
        <v>0.2130356964458959</v>
      </c>
      <c r="O79" s="4">
        <v>14</v>
      </c>
      <c r="P79" s="4">
        <v>13</v>
      </c>
      <c r="Q79" s="24">
        <f>((O79/15)*0.4)+(((P79*0.1)*0.25)/15)*0.4</f>
        <v>0.38200000000000001</v>
      </c>
      <c r="R79" s="4">
        <f>M79*O79</f>
        <v>5964.9995004850844</v>
      </c>
    </row>
    <row r="80" spans="1:53" x14ac:dyDescent="0.25">
      <c r="A80" t="s">
        <v>138</v>
      </c>
      <c r="B80" t="s">
        <v>169</v>
      </c>
      <c r="C80" s="2">
        <f>(IF(AND(G80&gt;=13.5,G80&lt;24,I80&gt;=(J80*1.2),E80/D80&gt;=0.85),
(N80
+H80
+K80
+Q80
+F80)*100,
(0.75*(N80
+H80
+K80
+Q80
+F80)*100)))</f>
        <v>118.92028554607397</v>
      </c>
      <c r="D80" s="4">
        <v>230</v>
      </c>
      <c r="E80" s="4">
        <v>230</v>
      </c>
      <c r="F80" s="24">
        <f>IF(E80/D80&gt;=(D80*0.85),(E80/D80)*0.15,((E80/D80)/0.85)*0.15)</f>
        <v>0.17647058823529413</v>
      </c>
      <c r="G80" s="3">
        <v>18.600000000000001</v>
      </c>
      <c r="H80" s="24">
        <f>IF(G80&lt;12,
    0,
    IF(G80&lt;=19,
        ((G80 - 14) / (6 ^ 1.5) * 0.15 + 0.85) * 0.4,
        IF(G80&lt;=24,
            (((19 - 14) / (6 ^ 1.5) * 0.15 + 0.85) * 0.4) +
            ((G80 - 19) / (6 ^ 1.5) * 0.15 * 0.1) * 0.4,
            IF(G80&lt;=24,
                (
                    (
                        ((19 - 14) / (6 ^ 1.5) * 0.15 + 0.85) +
                        (5 / (6 ^ 1.5) * 0.15 * 0.1)
                    ) * 0.4
                ) * (1 - ((G80 - 24) / 5)),
                0
            )
        )
    )
)</f>
        <v>0.35877942136133772</v>
      </c>
      <c r="I80" s="22">
        <v>0.6</v>
      </c>
      <c r="J80" s="22">
        <v>0.45200000000000001</v>
      </c>
      <c r="K80" s="24">
        <f>IF(I80&gt;=(J80*1.2),(((((I80/0.5325)^2)*0.25)+(((I80/J80)^2)*0.75))*(0.25))*(0.15),0)</f>
        <v>6.1460901374645348E-2</v>
      </c>
      <c r="L80" s="4">
        <v>908</v>
      </c>
      <c r="M80" s="4">
        <f>(D80*(L80^2))/450437</f>
        <v>420.98388897892494</v>
      </c>
      <c r="N80" s="24">
        <f>(((M80/100)/2)*0.1)</f>
        <v>0.21049194448946251</v>
      </c>
      <c r="O80" s="4">
        <v>14</v>
      </c>
      <c r="P80" s="4">
        <v>13</v>
      </c>
      <c r="Q80" s="24">
        <f>((O80/15)*0.4)+(((P80*0.1)*0.25)/15)*0.4</f>
        <v>0.38200000000000001</v>
      </c>
      <c r="R80" s="4">
        <f>M80*O80</f>
        <v>5893.7744457049494</v>
      </c>
    </row>
    <row r="81" spans="1:18" x14ac:dyDescent="0.25">
      <c r="A81" t="s">
        <v>127</v>
      </c>
      <c r="B81" t="s">
        <v>169</v>
      </c>
      <c r="C81" s="2">
        <f>(IF(AND(G81&gt;=13.5,G81&lt;24,I81&gt;=(J81*1.2),E81/D81&gt;=0.85),
(N81
+H81
+K81
+Q81
+F81)*100,
(0.75*(N81
+H81
+K81
+Q81
+F81)*100)))</f>
        <v>118.36741611986845</v>
      </c>
      <c r="D81" s="4">
        <v>185</v>
      </c>
      <c r="E81" s="4">
        <v>185</v>
      </c>
      <c r="F81" s="24">
        <f>IF(E81/D81&gt;=(D81*0.85),(E81/D81)*0.15,((E81/D81)/0.85)*0.15)</f>
        <v>0.17647058823529413</v>
      </c>
      <c r="G81" s="3">
        <v>18.8</v>
      </c>
      <c r="H81" s="24">
        <f>IF(G81&lt;12,
    0,
    IF(G81&lt;=19,
        ((G81 - 14) / (6 ^ 1.5) * 0.15 + 0.85) * 0.4,
        IF(G81&lt;=24,
            (((19 - 14) / (6 ^ 1.5) * 0.15 + 0.85) * 0.4) +
            ((G81 - 19) / (6 ^ 1.5) * 0.15 * 0.1) * 0.4,
            IF(G81&lt;=24,
                (
                    (
                        ((19 - 14) / (6 ^ 1.5) * 0.15 + 0.85) +
                        (5 / (6 ^ 1.5) * 0.15 * 0.1)
                    ) * 0.4
                ) * (1 - ((G81 - 24) / 5)),
                0
            )
        )
    )
)</f>
        <v>0.35959591794226542</v>
      </c>
      <c r="I81" s="22">
        <v>0.59</v>
      </c>
      <c r="J81" s="22">
        <v>0.45200000000000001</v>
      </c>
      <c r="K81" s="24">
        <f>IF(I81&gt;=(J81*1.2),(((((I81/0.5325)^2)*0.25)+(((I81/J81)^2)*0.75))*(0.25))*(0.15),0)</f>
        <v>5.9429277134761246E-2</v>
      </c>
      <c r="L81" s="4">
        <v>1002</v>
      </c>
      <c r="M81" s="4">
        <f>(D81*(L81^2))/450437</f>
        <v>412.35675577272735</v>
      </c>
      <c r="N81" s="24">
        <f>(((M81/100)/2)*0.1)</f>
        <v>0.2061783778863637</v>
      </c>
      <c r="O81" s="4">
        <v>14</v>
      </c>
      <c r="P81" s="4">
        <v>13</v>
      </c>
      <c r="Q81" s="24">
        <f>((O81/15)*0.4)+(((P81*0.1)*0.25)/15)*0.4</f>
        <v>0.38200000000000001</v>
      </c>
      <c r="R81" s="4">
        <f>M81*O81</f>
        <v>5772.9945808181828</v>
      </c>
    </row>
    <row r="82" spans="1:18" x14ac:dyDescent="0.25">
      <c r="A82" t="s">
        <v>136</v>
      </c>
      <c r="B82" t="s">
        <v>169</v>
      </c>
      <c r="C82" s="2">
        <f>(IF(AND(G82&gt;=13.5,G82&lt;24,I82&gt;=(J82*1.2),E82/D82&gt;=0.85),
(N82
+H82
+K82
+Q82
+F82)*100,
(0.75*(N82
+H82
+K82
+Q82
+F82)*100)))</f>
        <v>118.13761684794326</v>
      </c>
      <c r="D82" s="4">
        <v>200</v>
      </c>
      <c r="E82" s="4">
        <v>200</v>
      </c>
      <c r="F82" s="24">
        <f>IF(E82/D82&gt;=(D82*0.85),(E82/D82)*0.15,((E82/D82)/0.85)*0.15)</f>
        <v>0.17647058823529413</v>
      </c>
      <c r="G82" s="3">
        <v>18.100000000000001</v>
      </c>
      <c r="H82" s="24">
        <f>IF(G82&lt;12,
    0,
    IF(G82&lt;=19,
        ((G82 - 14) / (6 ^ 1.5) * 0.15 + 0.85) * 0.4,
        IF(G82&lt;=24,
            (((19 - 14) / (6 ^ 1.5) * 0.15 + 0.85) * 0.4) +
            ((G82 - 19) / (6 ^ 1.5) * 0.15 * 0.1) * 0.4,
            IF(G82&lt;=24,
                (
                    (
                        ((19 - 14) / (6 ^ 1.5) * 0.15 + 0.85) +
                        (5 / (6 ^ 1.5) * 0.15 * 0.1)
                    ) * 0.4
                ) * (1 - ((G82 - 24) / 5)),
                0
            )
        )
    )
)</f>
        <v>0.3567381799090184</v>
      </c>
      <c r="I82" s="22">
        <v>0.59</v>
      </c>
      <c r="J82" s="22">
        <v>0.45200000000000001</v>
      </c>
      <c r="K82" s="24">
        <f>IF(I82&gt;=(J82*1.2),(((((I82/0.5325)^2)*0.25)+(((I82/J82)^2)*0.75))*(0.25))*(0.15),0)</f>
        <v>5.9429277134761246E-2</v>
      </c>
      <c r="L82" s="4">
        <v>965</v>
      </c>
      <c r="M82" s="4">
        <f>(D82*(L82^2))/450437</f>
        <v>413.47624640071751</v>
      </c>
      <c r="N82" s="24">
        <f>(((M82/100)/2)*0.1)</f>
        <v>0.20673812320035878</v>
      </c>
      <c r="O82" s="4">
        <v>14</v>
      </c>
      <c r="P82" s="4">
        <v>13</v>
      </c>
      <c r="Q82" s="24">
        <f>((O82/15)*0.4)+(((P82*0.1)*0.25)/15)*0.4</f>
        <v>0.38200000000000001</v>
      </c>
      <c r="R82" s="4">
        <f>M82*O82</f>
        <v>5788.667449610045</v>
      </c>
    </row>
    <row r="83" spans="1:18" s="14" customFormat="1" x14ac:dyDescent="0.25">
      <c r="A83" t="s">
        <v>151</v>
      </c>
      <c r="B83" t="s">
        <v>169</v>
      </c>
      <c r="C83" s="2">
        <f>(IF(AND(G83&gt;=13.5,G83&lt;24,I83&gt;=(J83*1.2),E83/D83&gt;=0.85),
(N83
+H83
+K83
+Q83
+F83)*100,
(0.75*(N83
+H83
+K83
+Q83
+F83)*100)))</f>
        <v>117.42804358765821</v>
      </c>
      <c r="D83" s="4">
        <v>185</v>
      </c>
      <c r="E83" s="4">
        <v>185</v>
      </c>
      <c r="F83" s="24">
        <f>IF(E83/D83&gt;=(D83*0.85),(E83/D83)*0.15,((E83/D83)/0.85)*0.15)</f>
        <v>0.17647058823529413</v>
      </c>
      <c r="G83" s="3">
        <v>14.1</v>
      </c>
      <c r="H83" s="24">
        <f>IF(G83&lt;12,
    0,
    IF(G83&lt;=19,
        ((G83 - 14) / (6 ^ 1.5) * 0.15 + 0.85) * 0.4,
        IF(G83&lt;=24,
            (((19 - 14) / (6 ^ 1.5) * 0.15 + 0.85) * 0.4) +
            ((G83 - 19) / (6 ^ 1.5) * 0.15 * 0.1) * 0.4,
            IF(G83&lt;=24,
                (
                    (
                        ((19 - 14) / (6 ^ 1.5) * 0.15 + 0.85) +
                        (5 / (6 ^ 1.5) * 0.15 * 0.1)
                    ) * 0.4
                ) * (1 - ((G83 - 24) / 5)),
                0
            )
        )
    )
)</f>
        <v>0.34040824829046384</v>
      </c>
      <c r="I83" s="22">
        <v>0.72</v>
      </c>
      <c r="J83" s="22">
        <v>0.45200000000000001</v>
      </c>
      <c r="K83" s="24">
        <f>IF(I83&gt;=(J83*1.2),(((((I83/0.5325)^2)*0.25)+(((I83/J83)^2)*0.75))*(0.25))*(0.15),0)</f>
        <v>8.8503697979489301E-2</v>
      </c>
      <c r="L83" s="4">
        <v>954</v>
      </c>
      <c r="M83" s="4">
        <f>(D83*(L83^2))/450437</f>
        <v>373.79580274266988</v>
      </c>
      <c r="N83" s="24">
        <f>(((M83/100)/2)*0.1)</f>
        <v>0.18689790137133494</v>
      </c>
      <c r="O83" s="4">
        <v>14</v>
      </c>
      <c r="P83" s="4">
        <v>13</v>
      </c>
      <c r="Q83" s="24">
        <f>((O83/15)*0.4)+(((P83*0.1)*0.25)/15)*0.4</f>
        <v>0.38200000000000001</v>
      </c>
      <c r="R83" s="4">
        <f>M83*O83</f>
        <v>5233.1412383973784</v>
      </c>
    </row>
    <row r="84" spans="1:18" x14ac:dyDescent="0.25">
      <c r="A84" t="s">
        <v>155</v>
      </c>
      <c r="B84" t="s">
        <v>169</v>
      </c>
      <c r="C84" s="2">
        <f>(IF(AND(G84&gt;=13.5,G84&lt;24,I84&gt;=(J84*1.2),E84/D84&gt;=0.85),
(N84
+H84
+K84
+Q84
+F84)*100,
(0.75*(N84
+H84
+K84
+Q84
+F84)*100)))</f>
        <v>117.36163223092055</v>
      </c>
      <c r="D84" s="4">
        <v>230</v>
      </c>
      <c r="E84" s="4">
        <v>230</v>
      </c>
      <c r="F84" s="24">
        <f>IF(E84/D84&gt;=(D84*0.85),(E84/D84)*0.15,((E84/D84)/0.85)*0.15)</f>
        <v>0.17647058823529413</v>
      </c>
      <c r="G84" s="3">
        <v>21.6</v>
      </c>
      <c r="H84" s="24">
        <f>IF(G84&lt;12,
    0,
    IF(G84&lt;=19,
        ((G84 - 14) / (6 ^ 1.5) * 0.15 + 0.85) * 0.4,
        IF(G84&lt;=24,
            (((19 - 14) / (6 ^ 1.5) * 0.15 + 0.85) * 0.4) +
            ((G84 - 19) / (6 ^ 1.5) * 0.15 * 0.1) * 0.4,
            IF(G84&lt;=24,
                (
                    (
                        ((19 - 14) / (6 ^ 1.5) * 0.15 + 0.85) +
                        (5 / (6 ^ 1.5) * 0.15 * 0.1)
                    ) * 0.4
                ) * (1 - ((G84 - 24) / 5)),
                0
            )
        )
    )
)</f>
        <v>0.36147386007839921</v>
      </c>
      <c r="I84" s="22">
        <v>0.61</v>
      </c>
      <c r="J84" s="22">
        <v>0.45200000000000001</v>
      </c>
      <c r="K84" s="24">
        <f>IF(I84&gt;=(J84*1.2),(((((I84/0.5325)^2)*0.25)+(((I84/J84)^2)*0.75))*(0.25))*(0.15),0)</f>
        <v>6.3526670559737611E-2</v>
      </c>
      <c r="L84" s="4">
        <v>863</v>
      </c>
      <c r="M84" s="4">
        <f>(D84*(L84^2))/450437</f>
        <v>380.29040687154918</v>
      </c>
      <c r="N84" s="24">
        <f>(((M84/100)/2)*0.1)</f>
        <v>0.1901452034357746</v>
      </c>
      <c r="O84" s="4">
        <v>14</v>
      </c>
      <c r="P84" s="4">
        <v>13</v>
      </c>
      <c r="Q84" s="24">
        <f>((O84/15)*0.4)+(((P84*0.1)*0.25)/15)*0.4</f>
        <v>0.38200000000000001</v>
      </c>
      <c r="R84" s="4">
        <f>M84*O84</f>
        <v>5324.0656962016883</v>
      </c>
    </row>
    <row r="85" spans="1:18" x14ac:dyDescent="0.25">
      <c r="A85" t="s">
        <v>141</v>
      </c>
      <c r="B85" t="s">
        <v>169</v>
      </c>
      <c r="C85" s="2">
        <f>(IF(AND(G85&gt;=13.5,G85&lt;24,I85&gt;=(J85*1.2),E85/D85&gt;=0.85),
(N85
+H85
+K85
+Q85
+F85)*100,
(0.75*(N85
+H85
+K85
+Q85
+F85)*100)))</f>
        <v>116.4338728728151</v>
      </c>
      <c r="D85" s="4">
        <v>230</v>
      </c>
      <c r="E85" s="4">
        <v>230</v>
      </c>
      <c r="F85" s="24">
        <f>IF(E85/D85&gt;=(D85*0.85),(E85/D85)*0.15,((E85/D85)/0.85)*0.15)</f>
        <v>0.17647058823529413</v>
      </c>
      <c r="G85" s="3">
        <v>15.3</v>
      </c>
      <c r="H85" s="24">
        <f>IF(G85&lt;12,
    0,
    IF(G85&lt;=19,
        ((G85 - 14) / (6 ^ 1.5) * 0.15 + 0.85) * 0.4,
        IF(G85&lt;=24,
            (((19 - 14) / (6 ^ 1.5) * 0.15 + 0.85) * 0.4) +
            ((G85 - 19) / (6 ^ 1.5) * 0.15 * 0.1) * 0.4,
            IF(G85&lt;=24,
                (
                    (
                        ((19 - 14) / (6 ^ 1.5) * 0.15 + 0.85) +
                        (5 / (6 ^ 1.5) * 0.15 * 0.1)
                    ) * 0.4
                ) * (1 - ((G85 - 24) / 5)),
                0
            )
        )
    )
)</f>
        <v>0.34530722777603023</v>
      </c>
      <c r="I85" s="22">
        <v>0.73</v>
      </c>
      <c r="J85" s="22">
        <v>0.45200000000000001</v>
      </c>
      <c r="K85" s="24">
        <f>IF(I85&gt;=(J85*1.2),(((((I85/0.5325)^2)*0.25)+(((I85/J85)^2)*0.75))*(0.25))*(0.15),0)</f>
        <v>9.0979206507079205E-2</v>
      </c>
      <c r="L85" s="4">
        <v>815</v>
      </c>
      <c r="M85" s="4">
        <f>(D85*(L85^2))/450437</f>
        <v>339.16341241949482</v>
      </c>
      <c r="N85" s="24">
        <f>(((M85/100)/2)*0.1)</f>
        <v>0.16958170620974744</v>
      </c>
      <c r="O85" s="4">
        <v>14</v>
      </c>
      <c r="P85" s="4">
        <v>13</v>
      </c>
      <c r="Q85" s="24">
        <f>((O85/15)*0.4)+(((P85*0.1)*0.25)/15)*0.4</f>
        <v>0.38200000000000001</v>
      </c>
      <c r="R85" s="4">
        <f>M85*O85</f>
        <v>4748.2877738729276</v>
      </c>
    </row>
    <row r="86" spans="1:18" x14ac:dyDescent="0.25">
      <c r="A86" t="s">
        <v>133</v>
      </c>
      <c r="B86" t="s">
        <v>169</v>
      </c>
      <c r="C86" s="2">
        <f>(IF(AND(G86&gt;=13.5,G86&lt;24,I86&gt;=(J86*1.2),E86/D86&gt;=0.85),
(N86
+H86
+K86
+Q86
+F86)*100,
(0.75*(N86
+H86
+K86
+Q86
+F86)*100)))</f>
        <v>115.44357568878929</v>
      </c>
      <c r="D86" s="4">
        <v>185</v>
      </c>
      <c r="E86" s="4">
        <v>185</v>
      </c>
      <c r="F86" s="24">
        <f>IF(E86/D86&gt;=(D86*0.85),(E86/D86)*0.15,((E86/D86)/0.85)*0.15)</f>
        <v>0.17647058823529413</v>
      </c>
      <c r="G86" s="3">
        <v>17.600000000000001</v>
      </c>
      <c r="H86" s="24">
        <f>IF(G86&lt;12,
    0,
    IF(G86&lt;=19,
        ((G86 - 14) / (6 ^ 1.5) * 0.15 + 0.85) * 0.4,
        IF(G86&lt;=24,
            (((19 - 14) / (6 ^ 1.5) * 0.15 + 0.85) * 0.4) +
            ((G86 - 19) / (6 ^ 1.5) * 0.15 * 0.1) * 0.4,
            IF(G86&lt;=24,
                (
                    (
                        ((19 - 14) / (6 ^ 1.5) * 0.15 + 0.85) +
                        (5 / (6 ^ 1.5) * 0.15 * 0.1)
                    ) * 0.4
                ) * (1 - ((G86 - 24) / 5)),
                0
            )
        )
    )
)</f>
        <v>0.35469693845669908</v>
      </c>
      <c r="I86" s="22">
        <v>0.59</v>
      </c>
      <c r="J86" s="22">
        <v>0.45200000000000001</v>
      </c>
      <c r="K86" s="24">
        <f>IF(I86&gt;=(J86*1.2),(((((I86/0.5325)^2)*0.25)+(((I86/J86)^2)*0.75))*(0.25))*(0.15),0)</f>
        <v>5.9429277134761246E-2</v>
      </c>
      <c r="L86" s="4">
        <v>941</v>
      </c>
      <c r="M86" s="4">
        <f>(D86*(L86^2))/450437</f>
        <v>363.6779061222768</v>
      </c>
      <c r="N86" s="24">
        <f>(((M86/100)/2)*0.1)</f>
        <v>0.1818389530611384</v>
      </c>
      <c r="O86" s="4">
        <v>14</v>
      </c>
      <c r="P86" s="4">
        <v>13</v>
      </c>
      <c r="Q86" s="24">
        <f>((O86/15)*0.4)+(((P86*0.1)*0.25)/15)*0.4</f>
        <v>0.38200000000000001</v>
      </c>
      <c r="R86" s="4">
        <f>M86*O86</f>
        <v>5091.4906857118749</v>
      </c>
    </row>
    <row r="87" spans="1:18" x14ac:dyDescent="0.25">
      <c r="A87" t="s">
        <v>154</v>
      </c>
      <c r="B87" t="s">
        <v>169</v>
      </c>
      <c r="C87" s="2">
        <f>(IF(AND(G87&gt;=13.5,G87&lt;24,I87&gt;=(J87*1.2),E87/D87&gt;=0.85),
(N87
+H87
+K87
+Q87
+F87)*100,
(0.75*(N87
+H87
+K87
+Q87
+F87)*100)))</f>
        <v>114.9615720447799</v>
      </c>
      <c r="D87" s="4">
        <v>230</v>
      </c>
      <c r="E87" s="4">
        <v>230</v>
      </c>
      <c r="F87" s="24">
        <f>IF(E87/D87&gt;=(D87*0.85),(E87/D87)*0.15,((E87/D87)/0.85)*0.15)</f>
        <v>0.17647058823529413</v>
      </c>
      <c r="G87" s="3">
        <v>14.4</v>
      </c>
      <c r="H87" s="24">
        <f>IF(G87&lt;12,
    0,
    IF(G87&lt;=19,
        ((G87 - 14) / (6 ^ 1.5) * 0.15 + 0.85) * 0.4,
        IF(G87&lt;=24,
            (((19 - 14) / (6 ^ 1.5) * 0.15 + 0.85) * 0.4) +
            ((G87 - 19) / (6 ^ 1.5) * 0.15 * 0.1) * 0.4,
            IF(G87&lt;=24,
                (
                    (
                        ((19 - 14) / (6 ^ 1.5) * 0.15 + 0.85) +
                        (5 / (6 ^ 1.5) * 0.15 * 0.1)
                    ) * 0.4
                ) * (1 - ((G87 - 24) / 5)),
                0
            )
        )
    )
)</f>
        <v>0.34163299316185547</v>
      </c>
      <c r="I87" s="22">
        <v>0.7</v>
      </c>
      <c r="J87" s="22">
        <v>0.45200000000000001</v>
      </c>
      <c r="K87" s="24">
        <f>IF(I87&gt;=(J87*1.2),(((((I87/0.5325)^2)*0.25)+(((I87/J87)^2)*0.75))*(0.25))*(0.15),0)</f>
        <v>8.3655115759933965E-2</v>
      </c>
      <c r="L87" s="4">
        <v>806</v>
      </c>
      <c r="M87" s="4">
        <f>(D87*(L87^2))/450437</f>
        <v>331.71404658143092</v>
      </c>
      <c r="N87" s="24">
        <f>(((M87/100)/2)*0.1)</f>
        <v>0.16585702329071547</v>
      </c>
      <c r="O87" s="4">
        <v>14</v>
      </c>
      <c r="P87" s="4">
        <v>13</v>
      </c>
      <c r="Q87" s="24">
        <f>((O87/15)*0.4)+(((P87*0.1)*0.25)/15)*0.4</f>
        <v>0.38200000000000001</v>
      </c>
      <c r="R87" s="4">
        <f>M87*O87</f>
        <v>4643.9966521400329</v>
      </c>
    </row>
    <row r="88" spans="1:18" x14ac:dyDescent="0.25">
      <c r="A88" t="s">
        <v>147</v>
      </c>
      <c r="B88" t="s">
        <v>169</v>
      </c>
      <c r="C88" s="2">
        <f>(IF(AND(G88&gt;=13.5,G88&lt;24,I88&gt;=(J88*1.2),E88/D88&gt;=0.85),
(N88
+H88
+K88
+Q88
+F88)*100,
(0.75*(N88
+H88
+K88
+Q88
+F88)*100)))</f>
        <v>114.4212103660627</v>
      </c>
      <c r="D88" s="4">
        <v>230</v>
      </c>
      <c r="E88" s="4">
        <v>230</v>
      </c>
      <c r="F88" s="24">
        <f>IF(E88/D88&gt;=(D88*0.85),(E88/D88)*0.15,((E88/D88)/0.85)*0.15)</f>
        <v>0.17647058823529413</v>
      </c>
      <c r="G88" s="3">
        <v>18.2</v>
      </c>
      <c r="H88" s="24">
        <f>IF(G88&lt;12,
    0,
    IF(G88&lt;=19,
        ((G88 - 14) / (6 ^ 1.5) * 0.15 + 0.85) * 0.4,
        IF(G88&lt;=24,
            (((19 - 14) / (6 ^ 1.5) * 0.15 + 0.85) * 0.4) +
            ((G88 - 19) / (6 ^ 1.5) * 0.15 * 0.1) * 0.4,
            IF(G88&lt;=24,
                (
                    (
                        ((19 - 14) / (6 ^ 1.5) * 0.15 + 0.85) +
                        (5 / (6 ^ 1.5) * 0.15 * 0.1)
                    ) * 0.4
                ) * (1 - ((G88 - 24) / 5)),
                0
            )
        )
    )
)</f>
        <v>0.35714642819948228</v>
      </c>
      <c r="I88" s="22">
        <v>0.59</v>
      </c>
      <c r="J88" s="22">
        <v>0.45200000000000001</v>
      </c>
      <c r="K88" s="24">
        <f>IF(I88&gt;=(J88*1.2),(((((I88/0.5325)^2)*0.25)+(((I88/J88)^2)*0.75))*(0.25))*(0.15),0)</f>
        <v>5.9429277134761246E-2</v>
      </c>
      <c r="L88" s="4">
        <v>814</v>
      </c>
      <c r="M88" s="4">
        <f>(D88*(L88^2))/450437</f>
        <v>338.33162018217865</v>
      </c>
      <c r="N88" s="24">
        <f>(((M88/100)/2)*0.1)</f>
        <v>0.16916581009108933</v>
      </c>
      <c r="O88" s="4">
        <v>14</v>
      </c>
      <c r="P88" s="4">
        <v>13</v>
      </c>
      <c r="Q88" s="24">
        <f>((O88/15)*0.4)+(((P88*0.1)*0.25)/15)*0.4</f>
        <v>0.38200000000000001</v>
      </c>
      <c r="R88" s="4">
        <f>M88*O88</f>
        <v>4736.6426825505014</v>
      </c>
    </row>
    <row r="89" spans="1:18" x14ac:dyDescent="0.25">
      <c r="A89" t="s">
        <v>125</v>
      </c>
      <c r="B89" t="s">
        <v>169</v>
      </c>
      <c r="C89" s="2">
        <f>(IF(AND(G89&gt;=13.5,G89&lt;24,I89&gt;=(J89*1.2),E89/D89&gt;=0.85),
(N89
+H89
+K89
+Q89
+F89)*100,
(0.75*(N89
+H89
+K89
+Q89
+F89)*100)))</f>
        <v>113.90940263654699</v>
      </c>
      <c r="D89" s="4">
        <v>185</v>
      </c>
      <c r="E89" s="4">
        <v>185</v>
      </c>
      <c r="F89" s="24">
        <f>IF(E89/D89&gt;=(D89*0.85),(E89/D89)*0.15,((E89/D89)/0.85)*0.15)</f>
        <v>0.17647058823529413</v>
      </c>
      <c r="G89" s="3">
        <v>13.8</v>
      </c>
      <c r="H89" s="24">
        <f>IF(G89&lt;12,
    0,
    IF(G89&lt;=19,
        ((G89 - 14) / (6 ^ 1.5) * 0.15 + 0.85) * 0.4,
        IF(G89&lt;=24,
            (((19 - 14) / (6 ^ 1.5) * 0.15 + 0.85) * 0.4) +
            ((G89 - 19) / (6 ^ 1.5) * 0.15 * 0.1) * 0.4,
            IF(G89&lt;=24,
                (
                    (
                        ((19 - 14) / (6 ^ 1.5) * 0.15 + 0.85) +
                        (5 / (6 ^ 1.5) * 0.15 * 0.1)
                    ) * 0.4
                ) * (1 - ((G89 - 24) / 5)),
                0
            )
        )
    )
)</f>
        <v>0.33918350341907227</v>
      </c>
      <c r="I89" s="22">
        <v>0.65</v>
      </c>
      <c r="J89" s="22">
        <v>0.45200000000000001</v>
      </c>
      <c r="K89" s="24">
        <f>IF(I89&gt;=(J89*1.2),(((((I89/0.5325)^2)*0.25)+(((I89/J89)^2)*0.75))*(0.25))*(0.15),0)</f>
        <v>7.2131196752187945E-2</v>
      </c>
      <c r="L89" s="4">
        <v>908</v>
      </c>
      <c r="M89" s="4">
        <f>(D89*(L89^2))/450437</f>
        <v>338.61747591783092</v>
      </c>
      <c r="N89" s="24">
        <f>(((M89/100)/2)*0.1)</f>
        <v>0.16930873795891546</v>
      </c>
      <c r="O89" s="4">
        <v>14</v>
      </c>
      <c r="P89" s="4">
        <v>13</v>
      </c>
      <c r="Q89" s="24">
        <f>((O89/15)*0.4)+(((P89*0.1)*0.25)/15)*0.4</f>
        <v>0.38200000000000001</v>
      </c>
      <c r="R89" s="4">
        <f>M89*O89</f>
        <v>4740.6446628496324</v>
      </c>
    </row>
    <row r="90" spans="1:18" x14ac:dyDescent="0.25">
      <c r="A90" t="s">
        <v>132</v>
      </c>
      <c r="B90" t="s">
        <v>169</v>
      </c>
      <c r="C90" s="2">
        <f>(IF(AND(G90&gt;=13.5,G90&lt;24,I90&gt;=(J90*1.2),E90/D90&gt;=0.85),
(N90
+H90
+K90
+Q90
+F90)*100,
(0.75*(N90
+H90
+K90
+Q90
+F90)*100)))</f>
        <v>113.82345238944873</v>
      </c>
      <c r="D90" s="4">
        <v>230</v>
      </c>
      <c r="E90" s="4">
        <v>230</v>
      </c>
      <c r="F90" s="24">
        <f>IF(E90/D90&gt;=(D90*0.85),(E90/D90)*0.15,((E90/D90)/0.85)*0.15)</f>
        <v>0.17647058823529413</v>
      </c>
      <c r="G90" s="3">
        <v>17.399999999999999</v>
      </c>
      <c r="H90" s="24">
        <f>IF(G90&lt;12,
    0,
    IF(G90&lt;=19,
        ((G90 - 14) / (6 ^ 1.5) * 0.15 + 0.85) * 0.4,
        IF(G90&lt;=24,
            (((19 - 14) / (6 ^ 1.5) * 0.15 + 0.85) * 0.4) +
            ((G90 - 19) / (6 ^ 1.5) * 0.15 * 0.1) * 0.4,
            IF(G90&lt;=24,
                (
                    (
                        ((19 - 14) / (6 ^ 1.5) * 0.15 + 0.85) +
                        (5 / (6 ^ 1.5) * 0.15 * 0.1)
                    ) * 0.4
                ) * (1 - ((G90 - 24) / 5)),
                0
            )
        )
    )
)</f>
        <v>0.35388044187577133</v>
      </c>
      <c r="I90" s="22">
        <v>0.56999999999999995</v>
      </c>
      <c r="J90" s="22">
        <v>0.45200000000000001</v>
      </c>
      <c r="K90" s="24">
        <f>IF(I90&gt;=(J90*1.2),(((((I90/0.5325)^2)*0.25)+(((I90/J90)^2)*0.75))*(0.25))*(0.15),0)</f>
        <v>5.5468463490617424E-2</v>
      </c>
      <c r="L90" s="4">
        <v>817</v>
      </c>
      <c r="M90" s="4">
        <f>(D90*(L90^2))/450437</f>
        <v>340.83006058560909</v>
      </c>
      <c r="N90" s="24">
        <f>(((M90/100)/2)*0.1)</f>
        <v>0.17041503029280455</v>
      </c>
      <c r="O90" s="4">
        <v>14</v>
      </c>
      <c r="P90" s="4">
        <v>13</v>
      </c>
      <c r="Q90" s="24">
        <f>((O90/15)*0.4)+(((P90*0.1)*0.25)/15)*0.4</f>
        <v>0.38200000000000001</v>
      </c>
      <c r="R90" s="4">
        <f>M90*O90</f>
        <v>4771.6208481985268</v>
      </c>
    </row>
    <row r="91" spans="1:18" x14ac:dyDescent="0.25">
      <c r="A91" t="s">
        <v>146</v>
      </c>
      <c r="B91" t="s">
        <v>169</v>
      </c>
      <c r="C91" s="2">
        <f>(IF(AND(G91&gt;=13.5,G91&lt;24,I91&gt;=(J91*1.2),E91/D91&gt;=0.85),
(N91
+H91
+K91
+Q91
+F91)*100,
(0.75*(N91
+H91
+K91
+Q91
+F91)*100)))</f>
        <v>113.51752877440475</v>
      </c>
      <c r="D91" s="4">
        <v>230</v>
      </c>
      <c r="E91" s="4">
        <v>230</v>
      </c>
      <c r="F91" s="24">
        <f>IF(E91/D91&gt;=(D91*0.85),(E91/D91)*0.15,((E91/D91)/0.85)*0.15)</f>
        <v>0.17647058823529413</v>
      </c>
      <c r="G91" s="3">
        <v>16.3</v>
      </c>
      <c r="H91" s="24">
        <f>IF(G91&lt;12,
    0,
    IF(G91&lt;=19,
        ((G91 - 14) / (6 ^ 1.5) * 0.15 + 0.85) * 0.4,
        IF(G91&lt;=24,
            (((19 - 14) / (6 ^ 1.5) * 0.15 + 0.85) * 0.4) +
            ((G91 - 19) / (6 ^ 1.5) * 0.15 * 0.1) * 0.4,
            IF(G91&lt;=24,
                (
                    (
                        ((19 - 14) / (6 ^ 1.5) * 0.15 + 0.85) +
                        (5 / (6 ^ 1.5) * 0.15 * 0.1)
                    ) * 0.4
                ) * (1 - ((G91 - 24) / 5)),
                0
            )
        )
    )
)</f>
        <v>0.34938971068066887</v>
      </c>
      <c r="I91" s="22">
        <v>0.74</v>
      </c>
      <c r="J91" s="22">
        <v>0.45200000000000001</v>
      </c>
      <c r="K91" s="24">
        <f>IF(I91&gt;=(J91*1.2),(((((I91/0.5325)^2)*0.25)+(((I91/J91)^2)*0.75))*(0.25))*(0.15),0)</f>
        <v>9.3488859979877229E-2</v>
      </c>
      <c r="L91" s="4">
        <v>724</v>
      </c>
      <c r="M91" s="4">
        <f>(D91*(L91^2))/450437</f>
        <v>267.65225769641484</v>
      </c>
      <c r="N91" s="24">
        <f>(((M91/100)/2)*0.1)</f>
        <v>0.13382612884820741</v>
      </c>
      <c r="O91" s="4">
        <v>14</v>
      </c>
      <c r="P91" s="4">
        <v>13</v>
      </c>
      <c r="Q91" s="24">
        <f>((O91/15)*0.4)+(((P91*0.1)*0.25)/15)*0.4</f>
        <v>0.38200000000000001</v>
      </c>
      <c r="R91" s="4">
        <f>M91*O91</f>
        <v>3747.1316077498077</v>
      </c>
    </row>
    <row r="92" spans="1:18" x14ac:dyDescent="0.25">
      <c r="A92" t="s">
        <v>83</v>
      </c>
      <c r="B92" t="s">
        <v>169</v>
      </c>
      <c r="C92" s="2">
        <f>(IF(AND(G92&gt;=13.5,G92&lt;24,I92&gt;=(J92*1.2),E92/D92&gt;=0.85),
(N92
+H92
+K92
+Q92
+F92)*100,
(0.75*(N92
+H92
+K92
+Q92
+F92)*100)))</f>
        <v>112.45430461733712</v>
      </c>
      <c r="D92" s="4">
        <v>165</v>
      </c>
      <c r="E92" s="4">
        <v>165</v>
      </c>
      <c r="F92" s="24">
        <f>IF(E92/D92&gt;=(D92*0.85),(E92/D92)*0.15,((E92/D92)/0.85)*0.15)</f>
        <v>0.17647058823529413</v>
      </c>
      <c r="G92" s="3">
        <v>13.9</v>
      </c>
      <c r="H92" s="24">
        <f>IF(G92&lt;12,
    0,
    IF(G92&lt;=19,
        ((G92 - 14) / (6 ^ 1.5) * 0.15 + 0.85) * 0.4,
        IF(G92&lt;=24,
            (((19 - 14) / (6 ^ 1.5) * 0.15 + 0.85) * 0.4) +
            ((G92 - 19) / (6 ^ 1.5) * 0.15 * 0.1) * 0.4,
            IF(G92&lt;=24,
                (
                    (
                        ((19 - 14) / (6 ^ 1.5) * 0.15 + 0.85) +
                        (5 / (6 ^ 1.5) * 0.15 * 0.1)
                    ) * 0.4
                ) * (1 - ((G92 - 24) / 5)),
                0
            )
        )
    )
)</f>
        <v>0.33959175170953615</v>
      </c>
      <c r="I92" s="22">
        <v>0.65</v>
      </c>
      <c r="J92" s="22">
        <v>0.45200000000000001</v>
      </c>
      <c r="K92" s="24">
        <f>IF(I92&gt;=(J92*1.2),(((((I92/0.5325)^2)*0.25)+(((I92/J92)^2)*0.75))*(0.25))*(0.15),0)</f>
        <v>7.2131196752187945E-2</v>
      </c>
      <c r="L92" s="4">
        <v>918</v>
      </c>
      <c r="M92" s="4">
        <f>(D92*(L92^2))/450437</f>
        <v>308.69901895270596</v>
      </c>
      <c r="N92" s="24">
        <f>(((M92/100)/2)*0.1)</f>
        <v>0.15434950947635298</v>
      </c>
      <c r="O92" s="4">
        <v>14</v>
      </c>
      <c r="P92" s="4">
        <v>13</v>
      </c>
      <c r="Q92" s="24">
        <f>((O92/15)*0.4)+(((P92*0.1)*0.25)/15)*0.4</f>
        <v>0.38200000000000001</v>
      </c>
      <c r="R92" s="4">
        <f>M92*O92</f>
        <v>4321.7862653378834</v>
      </c>
    </row>
    <row r="93" spans="1:18" x14ac:dyDescent="0.25">
      <c r="A93" t="s">
        <v>123</v>
      </c>
      <c r="B93" t="s">
        <v>168</v>
      </c>
      <c r="C93" s="2">
        <f>(IF(AND(G93&gt;=13.5,G93&lt;24,I93&gt;=(J93*1.2),E93/D93&gt;=0.85),
(N93
+H93
+K93
+Q93
+F93)*100,
(0.75*(N93
+H93
+K93
+Q93
+F93)*100)))</f>
        <v>99.541947613961128</v>
      </c>
      <c r="D93" s="4">
        <v>125</v>
      </c>
      <c r="E93" s="4">
        <v>125</v>
      </c>
      <c r="F93" s="24">
        <f>IF(E93/D93&gt;=(D93*0.85),(E93/D93)*0.15,((E93/D93)/0.85)*0.15)</f>
        <v>0.17647058823529413</v>
      </c>
      <c r="G93" s="3">
        <v>13.2</v>
      </c>
      <c r="H93" s="24">
        <f>IF(G93&lt;12,
    0,
    IF(G93&lt;=19,
        ((G93 - 14) / (6 ^ 1.5) * 0.15 + 0.85) * 0.4,
        IF(G93&lt;=24,
            (((19 - 14) / (6 ^ 1.5) * 0.15 + 0.85) * 0.4) +
            ((G93 - 19) / (6 ^ 1.5) * 0.15 * 0.1) * 0.4,
            IF(G93&lt;=24,
                (
                    (
                        ((19 - 14) / (6 ^ 1.5) * 0.15 + 0.85) +
                        (5 / (6 ^ 1.5) * 0.15 * 0.1)
                    ) * 0.4
                ) * (1 - ((G93 - 24) / 5)),
                0
            )
        )
    )
)</f>
        <v>0.33673401367628908</v>
      </c>
      <c r="I93" s="22">
        <v>0.67</v>
      </c>
      <c r="J93" s="22">
        <v>0.35499999999999998</v>
      </c>
      <c r="K93" s="24">
        <f>IF(I93&gt;=(J93*1.2),(((((I93/0.5325)^2)*0.25)+(((I93/J93)^2)*0.75))*(0.25))*(0.15),0)</f>
        <v>0.11502264762282619</v>
      </c>
      <c r="L93" s="4">
        <v>1375</v>
      </c>
      <c r="M93" s="4">
        <f>(D93*(L93^2))/450437</f>
        <v>524.66410397014454</v>
      </c>
      <c r="N93" s="24">
        <f>(((M93/100)/2)*0.1)</f>
        <v>0.26233205198507226</v>
      </c>
      <c r="O93" s="4">
        <v>16</v>
      </c>
      <c r="P93" s="4">
        <v>15</v>
      </c>
      <c r="Q93" s="24">
        <f>((O93/15)*0.4)+(((P93*0.1)*0.25)/15)*0.4</f>
        <v>0.4366666666666667</v>
      </c>
      <c r="R93" s="4">
        <f>M93*O93</f>
        <v>8394.6256635223126</v>
      </c>
    </row>
    <row r="94" spans="1:18" x14ac:dyDescent="0.25">
      <c r="A94" t="s">
        <v>26</v>
      </c>
      <c r="B94" t="s">
        <v>166</v>
      </c>
      <c r="C94" s="2">
        <f>(IF(AND(G94&gt;=13.5,G94&lt;24,I94&gt;=(J94*1.2),E94/D94&gt;=0.85),
(N94
+H94
+K94
+Q94
+F94)*100,
(0.75*(N94
+H94
+K94
+Q94
+F94)*100)))</f>
        <v>95.2332221635086</v>
      </c>
      <c r="D94" s="4">
        <v>115</v>
      </c>
      <c r="E94" s="4">
        <v>115</v>
      </c>
      <c r="F94" s="24">
        <f>IF(E94/D94&gt;=(D94*0.85),(E94/D94)*0.15,((E94/D94)/0.85)*0.15)</f>
        <v>0.17647058823529413</v>
      </c>
      <c r="G94" s="3">
        <v>13.4</v>
      </c>
      <c r="H94" s="24">
        <f>IF(G94&lt;12,
    0,
    IF(G94&lt;=19,
        ((G94 - 14) / (6 ^ 1.5) * 0.15 + 0.85) * 0.4,
        IF(G94&lt;=24,
            (((19 - 14) / (6 ^ 1.5) * 0.15 + 0.85) * 0.4) +
            ((G94 - 19) / (6 ^ 1.5) * 0.15 * 0.1) * 0.4,
            IF(G94&lt;=24,
                (
                    (
                        ((19 - 14) / (6 ^ 1.5) * 0.15 + 0.85) +
                        (5 / (6 ^ 1.5) * 0.15 * 0.1)
                    ) * 0.4
                ) * (1 - ((G94 - 24) / 5)),
                0
            )
        )
    )
)</f>
        <v>0.33755051025721683</v>
      </c>
      <c r="I94" s="22">
        <v>0.7</v>
      </c>
      <c r="J94" s="22">
        <v>0.35499999999999998</v>
      </c>
      <c r="K94" s="24">
        <f>IF(I94&gt;=(J94*1.2),(((((I94/0.5325)^2)*0.25)+(((I94/J94)^2)*0.75))*(0.25))*(0.15),0)</f>
        <v>0.12555379223699001</v>
      </c>
      <c r="L94" s="4">
        <v>1043</v>
      </c>
      <c r="M94" s="4">
        <f>(D94*(L94^2))/450437</f>
        <v>277.73614290122703</v>
      </c>
      <c r="N94" s="24">
        <f>(((M94/100)/2)*0.1)</f>
        <v>0.1388680714506135</v>
      </c>
      <c r="O94" s="4">
        <v>18</v>
      </c>
      <c r="P94" s="4">
        <v>17</v>
      </c>
      <c r="Q94" s="24">
        <f>((O94/15)*0.4)+(((P94*0.1)*0.25)/15)*0.4</f>
        <v>0.49133333333333329</v>
      </c>
      <c r="R94" s="4">
        <f>M94*O94</f>
        <v>4999.2505722220867</v>
      </c>
    </row>
    <row r="95" spans="1:18" x14ac:dyDescent="0.25">
      <c r="A95" t="s">
        <v>52</v>
      </c>
      <c r="B95" t="s">
        <v>166</v>
      </c>
      <c r="C95" s="2">
        <f>(IF(AND(G95&gt;=13.5,G95&lt;24,I95&gt;=(J95*1.2),E95/D95&gt;=0.85),
(N95
+H95
+K95
+Q95
+F95)*100,
(0.75*(N95
+H95
+K95
+Q95
+F95)*100)))</f>
        <v>94.48905697636684</v>
      </c>
      <c r="D95" s="4">
        <v>92.6</v>
      </c>
      <c r="E95" s="4">
        <v>92.6</v>
      </c>
      <c r="F95" s="24">
        <f>IF(E95/D95&gt;=(D95*0.85),(E95/D95)*0.15,((E95/D95)/0.85)*0.15)</f>
        <v>0.17647058823529413</v>
      </c>
      <c r="G95" s="3">
        <v>12.9</v>
      </c>
      <c r="H95" s="24">
        <f>IF(G95&lt;12,
    0,
    IF(G95&lt;=19,
        ((G95 - 14) / (6 ^ 1.5) * 0.15 + 0.85) * 0.4,
        IF(G95&lt;=24,
            (((19 - 14) / (6 ^ 1.5) * 0.15 + 0.85) * 0.4) +
            ((G95 - 19) / (6 ^ 1.5) * 0.15 * 0.1) * 0.4,
            IF(G95&lt;=24,
                (
                    (
                        ((19 - 14) / (6 ^ 1.5) * 0.15 + 0.85) +
                        (5 / (6 ^ 1.5) * 0.15 * 0.1)
                    ) * 0.4
                ) * (1 - ((G95 - 24) / 5)),
                0
            )
        )
    )
)</f>
        <v>0.33550926880489751</v>
      </c>
      <c r="I95" s="22">
        <v>0.54</v>
      </c>
      <c r="J95" s="22">
        <v>0.35499999999999998</v>
      </c>
      <c r="K95" s="24">
        <f>IF(I95&gt;=(J95*1.2),(((((I95/0.5325)^2)*0.25)+(((I95/J95)^2)*0.75))*(0.25))*(0.15),0)</f>
        <v>7.471731799246184E-2</v>
      </c>
      <c r="L95" s="4">
        <v>1330</v>
      </c>
      <c r="M95" s="4">
        <f>(D95*(L95^2))/450437</f>
        <v>363.64716930447543</v>
      </c>
      <c r="N95" s="24">
        <f>(((M95/100)/2)*0.1)</f>
        <v>0.18182358465223772</v>
      </c>
      <c r="O95" s="4">
        <v>18</v>
      </c>
      <c r="P95" s="4">
        <v>17</v>
      </c>
      <c r="Q95" s="24">
        <f>((O95/15)*0.4)+(((P95*0.1)*0.25)/15)*0.4</f>
        <v>0.49133333333333329</v>
      </c>
      <c r="R95" s="4">
        <f>M95*O95</f>
        <v>6545.6490474805578</v>
      </c>
    </row>
    <row r="96" spans="1:18" x14ac:dyDescent="0.25">
      <c r="A96" t="s">
        <v>42</v>
      </c>
      <c r="B96" t="s">
        <v>166</v>
      </c>
      <c r="C96" s="2">
        <f>(IF(AND(G96&gt;=13.5,G96&lt;24,I96&gt;=(J96*1.2),E96/D96&gt;=0.85),
(N96
+H96
+K96
+Q96
+F96)*100,
(0.75*(N96
+H96
+K96
+Q96
+F96)*100)))</f>
        <v>92.622070418686263</v>
      </c>
      <c r="D96" s="4">
        <v>115</v>
      </c>
      <c r="E96" s="4">
        <v>115</v>
      </c>
      <c r="F96" s="24">
        <f>IF(E96/D96&gt;=(D96*0.85),(E96/D96)*0.15,((E96/D96)/0.85)*0.15)</f>
        <v>0.17647058823529413</v>
      </c>
      <c r="G96" s="3">
        <v>13.1</v>
      </c>
      <c r="H96" s="24">
        <f>IF(G96&lt;12,
    0,
    IF(G96&lt;=19,
        ((G96 - 14) / (6 ^ 1.5) * 0.15 + 0.85) * 0.4,
        IF(G96&lt;=24,
            (((19 - 14) / (6 ^ 1.5) * 0.15 + 0.85) * 0.4) +
            ((G96 - 19) / (6 ^ 1.5) * 0.15 * 0.1) * 0.4,
            IF(G96&lt;=24,
                (
                    (
                        ((19 - 14) / (6 ^ 1.5) * 0.15 + 0.85) +
                        (5 / (6 ^ 1.5) * 0.15 * 0.1)
                    ) * 0.4
                ) * (1 - ((G96 - 24) / 5)),
                0
            )
        )
    )
)</f>
        <v>0.33632576538582526</v>
      </c>
      <c r="I96" s="22">
        <v>0.5</v>
      </c>
      <c r="J96" s="22">
        <v>0.35499999999999998</v>
      </c>
      <c r="K96" s="24">
        <f>IF(I96&gt;=(J96*1.2),(((((I96/0.5325)^2)*0.25)+(((I96/J96)^2)*0.75))*(0.25))*(0.15),0)</f>
        <v>6.4058057263770424E-2</v>
      </c>
      <c r="L96" s="4">
        <v>1143</v>
      </c>
      <c r="M96" s="4">
        <f>(D96*(L96^2))/450437</f>
        <v>333.54638939518736</v>
      </c>
      <c r="N96" s="24">
        <f>(((M96/100)/2)*0.1)</f>
        <v>0.16677319469759369</v>
      </c>
      <c r="O96" s="4">
        <v>18</v>
      </c>
      <c r="P96" s="4">
        <v>17</v>
      </c>
      <c r="Q96" s="24">
        <f>((O96/15)*0.4)+(((P96*0.1)*0.25)/15)*0.4</f>
        <v>0.49133333333333329</v>
      </c>
      <c r="R96" s="4">
        <f>M96*O96</f>
        <v>6003.8350091133725</v>
      </c>
    </row>
    <row r="97" spans="1:18" x14ac:dyDescent="0.25">
      <c r="A97" t="s">
        <v>78</v>
      </c>
      <c r="B97" t="s">
        <v>167</v>
      </c>
      <c r="C97" s="2">
        <f>(IF(AND(G97&gt;=13.5,G97&lt;24,I97&gt;=(J97*1.2),E97/D97&gt;=0.85),
(N97
+H97
+K97
+Q97
+F97)*100,
(0.75*(N97
+H97
+K97
+Q97
+F97)*100)))</f>
        <v>92.57629537821721</v>
      </c>
      <c r="D97" s="4">
        <v>140</v>
      </c>
      <c r="E97" s="4">
        <v>140</v>
      </c>
      <c r="F97" s="24">
        <f>IF(E97/D97&gt;=(D97*0.85),(E97/D97)*0.15,((E97/D97)/0.85)*0.15)</f>
        <v>0.17647058823529413</v>
      </c>
      <c r="G97" s="3">
        <v>12.4</v>
      </c>
      <c r="H97" s="24">
        <f>IF(G97&lt;12,
    0,
    IF(G97&lt;=19,
        ((G97 - 14) / (6 ^ 1.5) * 0.15 + 0.85) * 0.4,
        IF(G97&lt;=24,
            (((19 - 14) / (6 ^ 1.5) * 0.15 + 0.85) * 0.4) +
            ((G97 - 19) / (6 ^ 1.5) * 0.15 * 0.1) * 0.4,
            IF(G97&lt;=24,
                (
                    (
                        ((19 - 14) / (6 ^ 1.5) * 0.15 + 0.85) +
                        (5 / (6 ^ 1.5) * 0.15 * 0.1)
                    ) * 0.4
                ) * (1 - ((G97 - 24) / 5)),
                0
            )
        )
    )
)</f>
        <v>0.33346802735257819</v>
      </c>
      <c r="I97" s="22">
        <v>0.76</v>
      </c>
      <c r="J97" s="22">
        <v>0.4</v>
      </c>
      <c r="K97" s="24">
        <f>IF(I97&gt;=(J97*1.2),(((((I97/0.5325)^2)*0.25)+(((I97/J97)^2)*0.75))*(0.25))*(0.15),0)</f>
        <v>0.12062799006480196</v>
      </c>
      <c r="L97" s="4">
        <v>1037</v>
      </c>
      <c r="M97" s="4">
        <f>(D97*(L97^2))/450437</f>
        <v>334.23466544711027</v>
      </c>
      <c r="N97" s="24">
        <f>(((M97/100)/2)*0.1)</f>
        <v>0.16711733272355514</v>
      </c>
      <c r="O97" s="4">
        <v>16</v>
      </c>
      <c r="P97" s="4">
        <v>15</v>
      </c>
      <c r="Q97" s="24">
        <f>((O97/15)*0.4)+(((P97*0.1)*0.25)/15)*0.4</f>
        <v>0.4366666666666667</v>
      </c>
      <c r="R97" s="4">
        <f>M97*O97</f>
        <v>5347.7546471537644</v>
      </c>
    </row>
    <row r="98" spans="1:18" x14ac:dyDescent="0.25">
      <c r="A98" t="s">
        <v>30</v>
      </c>
      <c r="B98" t="s">
        <v>166</v>
      </c>
      <c r="C98" s="2">
        <f>(IF(AND(G98&gt;=13.5,G98&lt;24,I98&gt;=(J98*1.2),E98/D98&gt;=0.85),
(N98
+H98
+K98
+Q98
+F98)*100,
(0.75*(N98
+H98
+K98
+Q98
+F98)*100)))</f>
        <v>92.132667653805981</v>
      </c>
      <c r="D98" s="4">
        <v>105</v>
      </c>
      <c r="E98" s="4">
        <v>105</v>
      </c>
      <c r="F98" s="24">
        <f>IF(E98/D98&gt;=(D98*0.85),(E98/D98)*0.15,((E98/D98)/0.85)*0.15)</f>
        <v>0.17647058823529413</v>
      </c>
      <c r="G98" s="3">
        <v>12.6</v>
      </c>
      <c r="H98" s="24">
        <f>IF(G98&lt;12,
    0,
    IF(G98&lt;=19,
        ((G98 - 14) / (6 ^ 1.5) * 0.15 + 0.85) * 0.4,
        IF(G98&lt;=24,
            (((19 - 14) / (6 ^ 1.5) * 0.15 + 0.85) * 0.4) +
            ((G98 - 19) / (6 ^ 1.5) * 0.15 * 0.1) * 0.4,
            IF(G98&lt;=24,
                (
                    (
                        ((19 - 14) / (6 ^ 1.5) * 0.15 + 0.85) +
                        (5 / (6 ^ 1.5) * 0.15 * 0.1)
                    ) * 0.4
                ) * (1 - ((G98 - 24) / 5)),
                0
            )
        )
    )
)</f>
        <v>0.33428452393350594</v>
      </c>
      <c r="I98" s="22">
        <v>0.5</v>
      </c>
      <c r="J98" s="22">
        <v>0.35499999999999998</v>
      </c>
      <c r="K98" s="24">
        <f>IF(I98&gt;=(J98*1.2),(((((I98/0.5325)^2)*0.25)+(((I98/J98)^2)*0.75))*(0.25))*(0.15),0)</f>
        <v>6.4058057263770424E-2</v>
      </c>
      <c r="L98" s="4">
        <v>1180</v>
      </c>
      <c r="M98" s="4">
        <f>(D98*(L98^2))/450437</f>
        <v>324.57813190301863</v>
      </c>
      <c r="N98" s="24">
        <f>(((M98/100)/2)*0.1)</f>
        <v>0.16228906595150933</v>
      </c>
      <c r="O98" s="4">
        <v>18</v>
      </c>
      <c r="P98" s="4">
        <v>17</v>
      </c>
      <c r="Q98" s="24">
        <f>((O98/15)*0.4)+(((P98*0.1)*0.25)/15)*0.4</f>
        <v>0.49133333333333329</v>
      </c>
      <c r="R98" s="4">
        <f>M98*O98</f>
        <v>5842.4063742543349</v>
      </c>
    </row>
    <row r="99" spans="1:18" x14ac:dyDescent="0.25">
      <c r="A99" t="s">
        <v>108</v>
      </c>
      <c r="B99" t="s">
        <v>167</v>
      </c>
      <c r="C99" s="2">
        <f>(IF(AND(G99&gt;=13.5,G99&lt;24,I99&gt;=(J99*1.2),E99/D99&gt;=0.85),
(N99
+H99
+K99
+Q99
+F99)*100,
(0.75*(N99
+H99
+K99
+Q99
+F99)*100)))</f>
        <v>91.743116295301093</v>
      </c>
      <c r="D99" s="4">
        <v>180</v>
      </c>
      <c r="E99" s="4">
        <v>180</v>
      </c>
      <c r="F99" s="24">
        <f>IF(E99/D99&gt;=(D99*0.85),(E99/D99)*0.15,((E99/D99)/0.85)*0.15)</f>
        <v>0.17647058823529413</v>
      </c>
      <c r="G99" s="3">
        <v>12.3</v>
      </c>
      <c r="H99" s="24">
        <f>IF(G99&lt;12,
    0,
    IF(G99&lt;=19,
        ((G99 - 14) / (6 ^ 1.5) * 0.15 + 0.85) * 0.4,
        IF(G99&lt;=24,
            (((19 - 14) / (6 ^ 1.5) * 0.15 + 0.85) * 0.4) +
            ((G99 - 19) / (6 ^ 1.5) * 0.15 * 0.1) * 0.4,
            IF(G99&lt;=24,
                (
                    (
                        ((19 - 14) / (6 ^ 1.5) * 0.15 + 0.85) +
                        (5 / (6 ^ 1.5) * 0.15 * 0.1)
                    ) * 0.4
                ) * (1 - ((G99 - 24) / 5)),
                0
            )
        )
    )
)</f>
        <v>0.33305977906211437</v>
      </c>
      <c r="I99" s="22">
        <v>0.64</v>
      </c>
      <c r="J99" s="22">
        <v>0.4</v>
      </c>
      <c r="K99" s="24">
        <f>IF(I99&gt;=(J99*1.2),(((((I99/0.5325)^2)*0.25)+(((I99/J99)^2)*0.75))*(0.25))*(0.15),0)</f>
        <v>8.554228658334985E-2</v>
      </c>
      <c r="L99" s="4">
        <v>979</v>
      </c>
      <c r="M99" s="4">
        <f>(D99*(L99^2))/450437</f>
        <v>383.00446011317899</v>
      </c>
      <c r="N99" s="24">
        <f>(((M99/100)/2)*0.1)</f>
        <v>0.19150223005658951</v>
      </c>
      <c r="O99" s="4">
        <v>16</v>
      </c>
      <c r="P99" s="4">
        <v>15</v>
      </c>
      <c r="Q99" s="24">
        <f>((O99/15)*0.4)+(((P99*0.1)*0.25)/15)*0.4</f>
        <v>0.4366666666666667</v>
      </c>
      <c r="R99" s="4">
        <f>M99*O99</f>
        <v>6128.0713618108639</v>
      </c>
    </row>
    <row r="100" spans="1:18" x14ac:dyDescent="0.25">
      <c r="A100" t="s">
        <v>72</v>
      </c>
      <c r="B100" t="s">
        <v>166</v>
      </c>
      <c r="C100" s="2">
        <f>(IF(AND(G100&gt;=13.5,G100&lt;24,I100&gt;=(J100*1.2),E100/D100&gt;=0.85),
(N100
+H100
+K100
+Q100
+F100)*100,
(0.75*(N100
+H100
+K100
+Q100
+F100)*100)))</f>
        <v>90.938103699219084</v>
      </c>
      <c r="D100" s="4">
        <v>124</v>
      </c>
      <c r="E100" s="4">
        <v>124</v>
      </c>
      <c r="F100" s="24">
        <f>IF(E100/D100&gt;=(D100*0.85),(E100/D100)*0.15,((E100/D100)/0.85)*0.15)</f>
        <v>0.17647058823529413</v>
      </c>
      <c r="G100" s="3">
        <v>22.2</v>
      </c>
      <c r="H100" s="24">
        <f>IF(G100&lt;12,
    0,
    IF(G100&lt;=19,
        ((G100 - 14) / (6 ^ 1.5) * 0.15 + 0.85) * 0.4,
        IF(G100&lt;=24,
            (((19 - 14) / (6 ^ 1.5) * 0.15 + 0.85) * 0.4) +
            ((G100 - 19) / (6 ^ 1.5) * 0.15 * 0.1) * 0.4,
            IF(G100&lt;=24,
                (
                    (
                        ((19 - 14) / (6 ^ 1.5) * 0.15 + 0.85) +
                        (5 / (6 ^ 1.5) * 0.15 * 0.1)
                    ) * 0.4
                ) * (1 - ((G100 - 24) / 5)),
                0
            )
        )
    )
)</f>
        <v>0.3617188090526775</v>
      </c>
      <c r="I100" s="22">
        <v>0.41</v>
      </c>
      <c r="J100" s="22">
        <v>0.35499999999999998</v>
      </c>
      <c r="K100" s="24">
        <f>IF(I100&gt;=(J100*1.2),(((((I100/0.5325)^2)*0.25)+(((I100/J100)^2)*0.75))*(0.25))*(0.15),0)</f>
        <v>0</v>
      </c>
      <c r="L100" s="4">
        <v>1153</v>
      </c>
      <c r="M100" s="4">
        <f>(D100*(L100^2))/450437</f>
        <v>365.97063740323284</v>
      </c>
      <c r="N100" s="24">
        <f>(((M100/100)/2)*0.1)</f>
        <v>0.18298531870161644</v>
      </c>
      <c r="O100" s="4">
        <v>18</v>
      </c>
      <c r="P100" s="4">
        <v>17</v>
      </c>
      <c r="Q100" s="24">
        <f>((O100/15)*0.4)+(((P100*0.1)*0.25)/15)*0.4</f>
        <v>0.49133333333333329</v>
      </c>
      <c r="R100" s="4">
        <f>M100*O100</f>
        <v>6587.4714732581915</v>
      </c>
    </row>
    <row r="101" spans="1:18" x14ac:dyDescent="0.25">
      <c r="A101" t="s">
        <v>59</v>
      </c>
      <c r="B101" t="s">
        <v>166</v>
      </c>
      <c r="C101" s="2">
        <f>(IF(AND(G101&gt;=13.5,G101&lt;24,I101&gt;=(J101*1.2),E101/D101&gt;=0.85),
(N101
+H101
+K101
+Q101
+F101)*100,
(0.75*(N101
+H101
+K101
+Q101
+F101)*100)))</f>
        <v>90.199324304638168</v>
      </c>
      <c r="D101" s="4">
        <v>124</v>
      </c>
      <c r="E101" s="4">
        <v>97.56</v>
      </c>
      <c r="F101" s="24">
        <f>IF(E101/D101&gt;=(D101*0.85),(E101/D101)*0.15,((E101/D101)/0.85)*0.15)</f>
        <v>0.13884250474383303</v>
      </c>
      <c r="G101" s="3">
        <v>17.5</v>
      </c>
      <c r="H101" s="24">
        <f>IF(G101&lt;12,
    0,
    IF(G101&lt;=19,
        ((G101 - 14) / (6 ^ 1.5) * 0.15 + 0.85) * 0.4,
        IF(G101&lt;=24,
            (((19 - 14) / (6 ^ 1.5) * 0.15 + 0.85) * 0.4) +
            ((G101 - 19) / (6 ^ 1.5) * 0.15 * 0.1) * 0.4,
            IF(G101&lt;=24,
                (
                    (
                        ((19 - 14) / (6 ^ 1.5) * 0.15 + 0.85) +
                        (5 / (6 ^ 1.5) * 0.15 * 0.1)
                    ) * 0.4
                ) * (1 - ((G101 - 24) / 5)),
                0
            )
        )
    )
)</f>
        <v>0.35428869016623521</v>
      </c>
      <c r="I101" s="22">
        <v>0.43</v>
      </c>
      <c r="J101" s="22">
        <v>0.35499999999999998</v>
      </c>
      <c r="K101" s="24">
        <f>IF(I101&gt;=(J101*1.2),(((((I101/0.5325)^2)*0.25)+(((I101/J101)^2)*0.75))*(0.25))*(0.15),0)</f>
        <v>4.7377339152284599E-2</v>
      </c>
      <c r="L101" s="4">
        <v>1114</v>
      </c>
      <c r="M101" s="4">
        <f>(D101*(L101^2))/450437</f>
        <v>341.63157999897879</v>
      </c>
      <c r="N101" s="24">
        <f>(((M101/100)/2)*0.1)</f>
        <v>0.1708157899994894</v>
      </c>
      <c r="O101" s="4">
        <v>18</v>
      </c>
      <c r="P101" s="4">
        <v>17</v>
      </c>
      <c r="Q101" s="24">
        <f>((O101/15)*0.4)+(((P101*0.1)*0.25)/15)*0.4</f>
        <v>0.49133333333333329</v>
      </c>
      <c r="R101" s="4">
        <f>M101*O101</f>
        <v>6149.3684399816184</v>
      </c>
    </row>
    <row r="102" spans="1:18" x14ac:dyDescent="0.25">
      <c r="A102" t="s">
        <v>50</v>
      </c>
      <c r="B102" t="s">
        <v>166</v>
      </c>
      <c r="C102" s="2">
        <f>(IF(AND(G102&gt;=13.5,G102&lt;24,I102&gt;=(J102*1.2),E102/D102&gt;=0.85),
(N102
+H102
+K102
+Q102
+F102)*100,
(0.75*(N102
+H102
+K102
+Q102
+F102)*100)))</f>
        <v>88.562227898044739</v>
      </c>
      <c r="D102" s="4">
        <v>124</v>
      </c>
      <c r="E102" s="4">
        <v>124</v>
      </c>
      <c r="F102" s="24">
        <f>IF(E102/D102&gt;=(D102*0.85),(E102/D102)*0.15,((E102/D102)/0.85)*0.15)</f>
        <v>0.17647058823529413</v>
      </c>
      <c r="G102" s="3">
        <v>20.399999999999999</v>
      </c>
      <c r="H102" s="24">
        <f>IF(G102&lt;12,
    0,
    IF(G102&lt;=19,
        ((G102 - 14) / (6 ^ 1.5) * 0.15 + 0.85) * 0.4,
        IF(G102&lt;=24,
            (((19 - 14) / (6 ^ 1.5) * 0.15 + 0.85) * 0.4) +
            ((G102 - 19) / (6 ^ 1.5) * 0.15 * 0.1) * 0.4,
            IF(G102&lt;=24,
                (
                    (
                        ((19 - 14) / (6 ^ 1.5) * 0.15 + 0.85) +
                        (5 / (6 ^ 1.5) * 0.15 * 0.1)
                    ) * 0.4
                ) * (1 - ((G102 - 24) / 5)),
                0
            )
        )
    )
)</f>
        <v>0.36098396212984257</v>
      </c>
      <c r="I102" s="22">
        <v>0.38</v>
      </c>
      <c r="J102" s="22">
        <v>0.35499999999999998</v>
      </c>
      <c r="K102" s="24">
        <f>IF(I102&gt;=(J102*1.2),(((((I102/0.5325)^2)*0.25)+(((I102/J102)^2)*0.75))*(0.25))*(0.15),0)</f>
        <v>0</v>
      </c>
      <c r="L102" s="4">
        <v>1051</v>
      </c>
      <c r="M102" s="4">
        <f>(D102*(L102^2))/450437</f>
        <v>304.08364321758648</v>
      </c>
      <c r="N102" s="24">
        <f>(((M102/100)/2)*0.1)</f>
        <v>0.15204182160879326</v>
      </c>
      <c r="O102" s="4">
        <v>18</v>
      </c>
      <c r="P102" s="4">
        <v>17</v>
      </c>
      <c r="Q102" s="24">
        <f>((O102/15)*0.4)+(((P102*0.1)*0.25)/15)*0.4</f>
        <v>0.49133333333333329</v>
      </c>
      <c r="R102" s="4">
        <f>M102*O102</f>
        <v>5473.5055779165568</v>
      </c>
    </row>
    <row r="103" spans="1:18" x14ac:dyDescent="0.25">
      <c r="A103" t="s">
        <v>38</v>
      </c>
      <c r="B103" t="s">
        <v>166</v>
      </c>
      <c r="C103" s="2">
        <f>(IF(AND(G103&gt;=13.5,G103&lt;24,I103&gt;=(J103*1.2),E103/D103&gt;=0.85),
(N103
+H103
+K103
+Q103
+F103)*100,
(0.75*(N103
+H103
+K103
+Q103
+F103)*100)))</f>
        <v>88.043873619802483</v>
      </c>
      <c r="D103" s="4">
        <v>147</v>
      </c>
      <c r="E103" s="4">
        <v>147</v>
      </c>
      <c r="F103" s="24">
        <f>IF(E103/D103&gt;=(D103*0.85),(E103/D103)*0.15,((E103/D103)/0.85)*0.15)</f>
        <v>0.17647058823529413</v>
      </c>
      <c r="G103" s="3">
        <v>17.7</v>
      </c>
      <c r="H103" s="24">
        <f>IF(G103&lt;12,
    0,
    IF(G103&lt;=19,
        ((G103 - 14) / (6 ^ 1.5) * 0.15 + 0.85) * 0.4,
        IF(G103&lt;=24,
            (((19 - 14) / (6 ^ 1.5) * 0.15 + 0.85) * 0.4) +
            ((G103 - 19) / (6 ^ 1.5) * 0.15 * 0.1) * 0.4,
            IF(G103&lt;=24,
                (
                    (
                        ((19 - 14) / (6 ^ 1.5) * 0.15 + 0.85) +
                        (5 / (6 ^ 1.5) * 0.15 * 0.1)
                    ) * 0.4
                ) * (1 - ((G103 - 24) / 5)),
                0
            )
        )
    )
)</f>
        <v>0.3551051867471629</v>
      </c>
      <c r="I103" s="22">
        <v>0.38</v>
      </c>
      <c r="J103" s="22">
        <v>0.35499999999999998</v>
      </c>
      <c r="K103" s="24">
        <f>IF(I103&gt;=(J103*1.2),(((((I103/0.5325)^2)*0.25)+(((I103/J103)^2)*0.75))*(0.25))*(0.15),0)</f>
        <v>0</v>
      </c>
      <c r="L103" s="4">
        <v>962</v>
      </c>
      <c r="M103" s="4">
        <f>(D103*(L103^2))/450437</f>
        <v>302.01841322981903</v>
      </c>
      <c r="N103" s="24">
        <f>(((M103/100)/2)*0.1)</f>
        <v>0.15100920661490952</v>
      </c>
      <c r="O103" s="4">
        <v>18</v>
      </c>
      <c r="P103" s="4">
        <v>17</v>
      </c>
      <c r="Q103" s="24">
        <f>((O103/15)*0.4)+(((P103*0.1)*0.25)/15)*0.4</f>
        <v>0.49133333333333329</v>
      </c>
      <c r="R103" s="4">
        <f>M103*O103</f>
        <v>5436.3314381367427</v>
      </c>
    </row>
    <row r="104" spans="1:18" x14ac:dyDescent="0.25">
      <c r="A104" t="s">
        <v>53</v>
      </c>
      <c r="B104" t="s">
        <v>166</v>
      </c>
      <c r="C104" s="2">
        <f>(IF(AND(G104&gt;=13.5,G104&lt;24,I104&gt;=(J104*1.2),E104/D104&gt;=0.85),
(N104
+H104
+K104
+Q104
+F104)*100,
(0.75*(N104
+H104
+K104
+Q104
+F104)*100)))</f>
        <v>87.876625405979809</v>
      </c>
      <c r="D104" s="4">
        <v>124</v>
      </c>
      <c r="E104" s="4">
        <v>124</v>
      </c>
      <c r="F104" s="24">
        <f>IF(E104/D104&gt;=(D104*0.85),(E104/D104)*0.15,((E104/D104)/0.85)*0.15)</f>
        <v>0.17647058823529413</v>
      </c>
      <c r="G104" s="3">
        <v>22.4</v>
      </c>
      <c r="H104" s="24">
        <f>IF(G104&lt;12,
    0,
    IF(G104&lt;=19,
        ((G104 - 14) / (6 ^ 1.5) * 0.15 + 0.85) * 0.4,
        IF(G104&lt;=24,
            (((19 - 14) / (6 ^ 1.5) * 0.15 + 0.85) * 0.4) +
            ((G104 - 19) / (6 ^ 1.5) * 0.15 * 0.1) * 0.4,
            IF(G104&lt;=24,
                (
                    (
                        ((19 - 14) / (6 ^ 1.5) * 0.15 + 0.85) +
                        (5 / (6 ^ 1.5) * 0.15 * 0.1)
                    ) * 0.4
                ) * (1 - ((G104 - 24) / 5)),
                0
            )
        )
    )
)</f>
        <v>0.36180045871077032</v>
      </c>
      <c r="I104" s="22">
        <v>0.35</v>
      </c>
      <c r="J104" s="22">
        <v>0.35499999999999998</v>
      </c>
      <c r="K104" s="24">
        <f>IF(I104&gt;=(J104*1.2),(((((I104/0.5325)^2)*0.25)+(((I104/J104)^2)*0.75))*(0.25))*(0.15),0)</f>
        <v>0</v>
      </c>
      <c r="L104" s="4">
        <v>1016</v>
      </c>
      <c r="M104" s="4">
        <f>(D104*(L104^2))/450437</f>
        <v>284.16791693399966</v>
      </c>
      <c r="N104" s="24">
        <f>(((M104/100)/2)*0.1)</f>
        <v>0.14208395846699984</v>
      </c>
      <c r="O104" s="4">
        <v>18</v>
      </c>
      <c r="P104" s="4">
        <v>17</v>
      </c>
      <c r="Q104" s="24">
        <f>((O104/15)*0.4)+(((P104*0.1)*0.25)/15)*0.4</f>
        <v>0.49133333333333329</v>
      </c>
      <c r="R104" s="4">
        <f>M104*O104</f>
        <v>5115.0225048119937</v>
      </c>
    </row>
    <row r="105" spans="1:18" x14ac:dyDescent="0.25">
      <c r="A105" t="s">
        <v>64</v>
      </c>
      <c r="B105" t="s">
        <v>166</v>
      </c>
      <c r="C105" s="2">
        <f>(IF(AND(G105&gt;=13.5,G105&lt;24,I105&gt;=(J105*1.2),E105/D105&gt;=0.85),
(N105
+H105
+K105
+Q105
+F105)*100,
(0.75*(N105
+H105
+K105
+Q105
+F105)*100)))</f>
        <v>87.474566106945815</v>
      </c>
      <c r="D105" s="4">
        <v>147</v>
      </c>
      <c r="E105" s="4">
        <v>147</v>
      </c>
      <c r="F105" s="24">
        <f>IF(E105/D105&gt;=(D105*0.85),(E105/D105)*0.15,((E105/D105)/0.85)*0.15)</f>
        <v>0.17647058823529413</v>
      </c>
      <c r="G105" s="3">
        <v>19</v>
      </c>
      <c r="H105" s="24">
        <f>IF(G105&lt;12,
    0,
    IF(G105&lt;=19,
        ((G105 - 14) / (6 ^ 1.5) * 0.15 + 0.85) * 0.4,
        IF(G105&lt;=24,
            (((19 - 14) / (6 ^ 1.5) * 0.15 + 0.85) * 0.4) +
            ((G105 - 19) / (6 ^ 1.5) * 0.15 * 0.1) * 0.4,
            IF(G105&lt;=24,
                (
                    (
                        ((19 - 14) / (6 ^ 1.5) * 0.15 + 0.85) +
                        (5 / (6 ^ 1.5) * 0.15 * 0.1)
                    ) * 0.4
                ) * (1 - ((G105 - 24) / 5)),
                0
            )
        )
    )
)</f>
        <v>0.36041241452319317</v>
      </c>
      <c r="I105" s="22">
        <v>0.35</v>
      </c>
      <c r="J105" s="22">
        <v>0.35499999999999998</v>
      </c>
      <c r="K105" s="24">
        <f>IF(I105&gt;=(J105*1.2),(((((I105/0.5325)^2)*0.25)+(((I105/J105)^2)*0.75))*(0.25))*(0.15),0)</f>
        <v>0</v>
      </c>
      <c r="L105" s="4">
        <v>920</v>
      </c>
      <c r="M105" s="4">
        <f>(D105*(L105^2))/450437</f>
        <v>276.22242400158069</v>
      </c>
      <c r="N105" s="24">
        <f>(((M105/100)/2)*0.1)</f>
        <v>0.13811121200079035</v>
      </c>
      <c r="O105" s="4">
        <v>18</v>
      </c>
      <c r="P105" s="4">
        <v>17</v>
      </c>
      <c r="Q105" s="24">
        <f>((O105/15)*0.4)+(((P105*0.1)*0.25)/15)*0.4</f>
        <v>0.49133333333333329</v>
      </c>
      <c r="R105" s="4">
        <f>M105*O105</f>
        <v>4972.0036320284526</v>
      </c>
    </row>
    <row r="106" spans="1:18" x14ac:dyDescent="0.25">
      <c r="A106" t="s">
        <v>70</v>
      </c>
      <c r="B106" t="s">
        <v>166</v>
      </c>
      <c r="C106" s="2">
        <f>(IF(AND(G106&gt;=13.5,G106&lt;24,I106&gt;=(J106*1.2),E106/D106&gt;=0.85),
(N106
+H106
+K106
+Q106
+F106)*100,
(0.75*(N106
+H106
+K106
+Q106
+F106)*100)))</f>
        <v>87.343051751807607</v>
      </c>
      <c r="D106" s="4">
        <v>147</v>
      </c>
      <c r="E106" s="4">
        <v>147</v>
      </c>
      <c r="F106" s="24">
        <f>IF(E106/D106&gt;=(D106*0.85),(E106/D106)*0.15,((E106/D106)/0.85)*0.15)</f>
        <v>0.17647058823529413</v>
      </c>
      <c r="G106" s="3">
        <v>16.100000000000001</v>
      </c>
      <c r="H106" s="24">
        <f>IF(G106&lt;12,
    0,
    IF(G106&lt;=19,
        ((G106 - 14) / (6 ^ 1.5) * 0.15 + 0.85) * 0.4,
        IF(G106&lt;=24,
            (((19 - 14) / (6 ^ 1.5) * 0.15 + 0.85) * 0.4) +
            ((G106 - 19) / (6 ^ 1.5) * 0.15 * 0.1) * 0.4,
            IF(G106&lt;=24,
                (
                    (
                        ((19 - 14) / (6 ^ 1.5) * 0.15 + 0.85) +
                        (5 / (6 ^ 1.5) * 0.15 * 0.1)
                    ) * 0.4
                ) * (1 - ((G106 - 24) / 5)),
                0
            )
        )
    )
)</f>
        <v>0.34857321409974112</v>
      </c>
      <c r="I106" s="22">
        <v>0.42</v>
      </c>
      <c r="J106" s="22">
        <v>0.35499999999999998</v>
      </c>
      <c r="K106" s="24">
        <f>IF(I106&gt;=(J106*1.2),(((((I106/0.5325)^2)*0.25)+(((I106/J106)^2)*0.75))*(0.25))*(0.15),0)</f>
        <v>0</v>
      </c>
      <c r="L106" s="4">
        <v>953</v>
      </c>
      <c r="M106" s="4">
        <f>(D106*(L106^2))/450437</f>
        <v>296.39377537813277</v>
      </c>
      <c r="N106" s="24">
        <f>(((M106/100)/2)*0.1)</f>
        <v>0.14819688768906639</v>
      </c>
      <c r="O106" s="4">
        <v>18</v>
      </c>
      <c r="P106" s="4">
        <v>17</v>
      </c>
      <c r="Q106" s="24">
        <f>((O106/15)*0.4)+(((P106*0.1)*0.25)/15)*0.4</f>
        <v>0.49133333333333329</v>
      </c>
      <c r="R106" s="4">
        <f>M106*O106</f>
        <v>5335.0879568063901</v>
      </c>
    </row>
    <row r="107" spans="1:18" x14ac:dyDescent="0.25">
      <c r="A107" t="s">
        <v>61</v>
      </c>
      <c r="B107" t="s">
        <v>166</v>
      </c>
      <c r="C107" s="2">
        <f>(IF(AND(G107&gt;=13.5,G107&lt;24,I107&gt;=(J107*1.2),E107/D107&gt;=0.85),
(N107
+H107
+K107
+Q107
+F107)*100,
(0.75*(N107
+H107
+K107
+Q107
+F107)*100)))</f>
        <v>87.254486020499371</v>
      </c>
      <c r="D107" s="4">
        <v>124</v>
      </c>
      <c r="E107" s="4">
        <v>90.4</v>
      </c>
      <c r="F107" s="24">
        <f>IF(E107/D107&gt;=(D107*0.85),(E107/D107)*0.15,((E107/D107)/0.85)*0.15)</f>
        <v>0.12865275142314991</v>
      </c>
      <c r="G107" s="3">
        <v>19.8</v>
      </c>
      <c r="H107" s="24">
        <f>IF(G107&lt;12,
    0,
    IF(G107&lt;=19,
        ((G107 - 14) / (6 ^ 1.5) * 0.15 + 0.85) * 0.4,
        IF(G107&lt;=24,
            (((19 - 14) / (6 ^ 1.5) * 0.15 + 0.85) * 0.4) +
            ((G107 - 19) / (6 ^ 1.5) * 0.15 * 0.1) * 0.4,
            IF(G107&lt;=24,
                (
                    (
                        ((19 - 14) / (6 ^ 1.5) * 0.15 + 0.85) +
                        (5 / (6 ^ 1.5) * 0.15 * 0.1)
                    ) * 0.4
                ) * (1 - ((G107 - 24) / 5)),
                0
            )
        )
    )
)</f>
        <v>0.36073901315556428</v>
      </c>
      <c r="I107" s="22">
        <v>0.35</v>
      </c>
      <c r="J107" s="22">
        <v>0.35499999999999998</v>
      </c>
      <c r="K107" s="24">
        <f>IF(I107&gt;=(J107*1.2),(((((I107/0.5325)^2)*0.25)+(((I107/J107)^2)*0.75))*(0.25))*(0.15),0)</f>
        <v>0</v>
      </c>
      <c r="L107" s="4">
        <v>1152</v>
      </c>
      <c r="M107" s="4">
        <f>(D107*(L107^2))/450437</f>
        <v>365.33609805588793</v>
      </c>
      <c r="N107" s="24">
        <f>(((M107/100)/2)*0.1)</f>
        <v>0.18266804902794398</v>
      </c>
      <c r="O107" s="4">
        <v>18</v>
      </c>
      <c r="P107" s="4">
        <v>17</v>
      </c>
      <c r="Q107" s="24">
        <f>((O107/15)*0.4)+(((P107*0.1)*0.25)/15)*0.4</f>
        <v>0.49133333333333329</v>
      </c>
      <c r="R107" s="4">
        <f>M107*O107</f>
        <v>6576.0497650059824</v>
      </c>
    </row>
    <row r="108" spans="1:18" x14ac:dyDescent="0.25">
      <c r="A108" t="s">
        <v>90</v>
      </c>
      <c r="B108" t="s">
        <v>167</v>
      </c>
      <c r="C108" s="2">
        <f>(IF(AND(G108&gt;=13.5,G108&lt;24,I108&gt;=(J108*1.2),E108/D108&gt;=0.85),
(N108
+H108
+K108
+Q108
+F108)*100,
(0.75*(N108
+H108
+K108
+Q108
+F108)*100)))</f>
        <v>86.736618855846018</v>
      </c>
      <c r="D108" s="4">
        <v>175</v>
      </c>
      <c r="E108" s="4">
        <v>175</v>
      </c>
      <c r="F108" s="24">
        <f>IF(E108/D108&gt;=(D108*0.85),(E108/D108)*0.15,((E108/D108)/0.85)*0.15)</f>
        <v>0.17647058823529413</v>
      </c>
      <c r="G108" s="3">
        <v>19.399999999999999</v>
      </c>
      <c r="H108" s="24">
        <f>IF(G108&lt;12,
    0,
    IF(G108&lt;=19,
        ((G108 - 14) / (6 ^ 1.5) * 0.15 + 0.85) * 0.4,
        IF(G108&lt;=24,
            (((19 - 14) / (6 ^ 1.5) * 0.15 + 0.85) * 0.4) +
            ((G108 - 19) / (6 ^ 1.5) * 0.15 * 0.1) * 0.4,
            IF(G108&lt;=24,
                (
                    (
                        ((19 - 14) / (6 ^ 1.5) * 0.15 + 0.85) +
                        (5 / (6 ^ 1.5) * 0.15 * 0.1)
                    ) * 0.4
                ) * (1 - ((G108 - 24) / 5)),
                0
            )
        )
    )
)</f>
        <v>0.3605757138393787</v>
      </c>
      <c r="I108" s="22">
        <v>0.42</v>
      </c>
      <c r="J108" s="22">
        <v>0.4</v>
      </c>
      <c r="K108" s="24">
        <f>IF(I108&gt;=(J108*1.2),(((((I108/0.5325)^2)*0.25)+(((I108/J108)^2)*0.75))*(0.25))*(0.15),0)</f>
        <v>0</v>
      </c>
      <c r="L108" s="4">
        <v>970</v>
      </c>
      <c r="M108" s="4">
        <f>(D108*(L108^2))/450437</f>
        <v>365.55056533988108</v>
      </c>
      <c r="N108" s="24">
        <f>(((M108/100)/2)*0.1)</f>
        <v>0.18277528266994056</v>
      </c>
      <c r="O108" s="4">
        <v>16</v>
      </c>
      <c r="P108" s="4">
        <v>15</v>
      </c>
      <c r="Q108" s="24">
        <f>((O108/15)*0.4)+(((P108*0.1)*0.25)/15)*0.4</f>
        <v>0.4366666666666667</v>
      </c>
      <c r="R108" s="4">
        <f>M108*O108</f>
        <v>5848.8090454380972</v>
      </c>
    </row>
    <row r="109" spans="1:18" x14ac:dyDescent="0.25">
      <c r="A109" t="s">
        <v>55</v>
      </c>
      <c r="B109" t="s">
        <v>166</v>
      </c>
      <c r="C109" s="2">
        <f>(IF(AND(G109&gt;=13.5,G109&lt;24,I109&gt;=(J109*1.2),E109/D109&gt;=0.85),
(N109
+H109
+K109
+Q109
+F109)*100,
(0.75*(N109
+H109
+K109
+Q109
+F109)*100)))</f>
        <v>85.271353045338145</v>
      </c>
      <c r="D109" s="4">
        <v>147</v>
      </c>
      <c r="E109" s="4">
        <v>147</v>
      </c>
      <c r="F109" s="24">
        <f>IF(E109/D109&gt;=(D109*0.85),(E109/D109)*0.15,((E109/D109)/0.85)*0.15)</f>
        <v>0.17647058823529413</v>
      </c>
      <c r="G109" s="3">
        <v>17.7</v>
      </c>
      <c r="H109" s="24">
        <f>IF(G109&lt;12,
    0,
    IF(G109&lt;=19,
        ((G109 - 14) / (6 ^ 1.5) * 0.15 + 0.85) * 0.4,
        IF(G109&lt;=24,
            (((19 - 14) / (6 ^ 1.5) * 0.15 + 0.85) * 0.4) +
            ((G109 - 19) / (6 ^ 1.5) * 0.15 * 0.1) * 0.4,
            IF(G109&lt;=24,
                (
                    (
                        ((19 - 14) / (6 ^ 1.5) * 0.15 + 0.85) +
                        (5 / (6 ^ 1.5) * 0.15 * 0.1)
                    ) * 0.4
                ) * (1 - ((G109 - 24) / 5)),
                0
            )
        )
    )
)</f>
        <v>0.3551051867471629</v>
      </c>
      <c r="I109" s="22">
        <v>0.35</v>
      </c>
      <c r="J109" s="22">
        <v>0.35499999999999998</v>
      </c>
      <c r="K109" s="24">
        <f>IF(I109&gt;=(J109*1.2),(((((I109/0.5325)^2)*0.25)+(((I109/J109)^2)*0.75))*(0.25))*(0.15),0)</f>
        <v>0</v>
      </c>
      <c r="L109" s="4">
        <v>836</v>
      </c>
      <c r="M109" s="4">
        <f>(D109*(L109^2))/450437</f>
        <v>228.08453124410295</v>
      </c>
      <c r="N109" s="24">
        <f>(((M109/100)/2)*0.1)</f>
        <v>0.11404226562205147</v>
      </c>
      <c r="O109" s="4">
        <v>18</v>
      </c>
      <c r="P109" s="4">
        <v>17</v>
      </c>
      <c r="Q109" s="24">
        <f>((O109/15)*0.4)+(((P109*0.1)*0.25)/15)*0.4</f>
        <v>0.49133333333333329</v>
      </c>
      <c r="R109" s="4">
        <f>M109*O109</f>
        <v>4105.5215623938529</v>
      </c>
    </row>
    <row r="110" spans="1:18" x14ac:dyDescent="0.25">
      <c r="A110" t="s">
        <v>153</v>
      </c>
      <c r="B110" t="s">
        <v>169</v>
      </c>
      <c r="C110" s="2">
        <f>(IF(AND(G110&gt;=13.5,G110&lt;24,I110&gt;=(J110*1.2),E110/D110&gt;=0.85),
(N110
+H110
+K110
+Q110
+F110)*100,
(0.75*(N110
+H110
+K110
+Q110
+F110)*100)))</f>
        <v>84.331475531169062</v>
      </c>
      <c r="D110" s="4">
        <v>230</v>
      </c>
      <c r="E110" s="4">
        <v>230</v>
      </c>
      <c r="F110" s="24">
        <f>IF(E110/D110&gt;=(D110*0.85),(E110/D110)*0.15,((E110/D110)/0.85)*0.15)</f>
        <v>0.17647058823529413</v>
      </c>
      <c r="G110" s="3">
        <v>12.9</v>
      </c>
      <c r="H110" s="24">
        <f>IF(G110&lt;12,
    0,
    IF(G110&lt;=19,
        ((G110 - 14) / (6 ^ 1.5) * 0.15 + 0.85) * 0.4,
        IF(G110&lt;=24,
            (((19 - 14) / (6 ^ 1.5) * 0.15 + 0.85) * 0.4) +
            ((G110 - 19) / (6 ^ 1.5) * 0.15 * 0.1) * 0.4,
            IF(G110&lt;=24,
                (
                    (
                        ((19 - 14) / (6 ^ 1.5) * 0.15 + 0.85) +
                        (5 / (6 ^ 1.5) * 0.15 * 0.1)
                    ) * 0.4
                ) * (1 - ((G110 - 24) / 5)),
                0
            )
        )
    )
)</f>
        <v>0.33550926880489751</v>
      </c>
      <c r="I110" s="22">
        <v>0.71</v>
      </c>
      <c r="J110" s="22">
        <v>0.45200000000000001</v>
      </c>
      <c r="K110" s="24">
        <f>IF(I110&gt;=(J110*1.2),(((((I110/0.5325)^2)*0.25)+(((I110/J110)^2)*0.75))*(0.25))*(0.15),0)</f>
        <v>8.6062334397107559E-2</v>
      </c>
      <c r="L110" s="4">
        <v>752</v>
      </c>
      <c r="M110" s="4">
        <f>(D110*(L110^2))/450437</f>
        <v>288.75496462324367</v>
      </c>
      <c r="N110" s="24">
        <f>(((M110/100)/2)*0.1)</f>
        <v>0.14437748231162184</v>
      </c>
      <c r="O110" s="4">
        <v>14</v>
      </c>
      <c r="P110" s="4">
        <v>13</v>
      </c>
      <c r="Q110" s="24">
        <f>((O110/15)*0.4)+(((P110*0.1)*0.25)/15)*0.4</f>
        <v>0.38200000000000001</v>
      </c>
      <c r="R110" s="4">
        <f>M110*O110</f>
        <v>4042.5695047254112</v>
      </c>
    </row>
    <row r="111" spans="1:18" x14ac:dyDescent="0.25">
      <c r="A111" t="s">
        <v>92</v>
      </c>
      <c r="B111" t="s">
        <v>167</v>
      </c>
      <c r="C111" s="2">
        <f>(IF(AND(G111&gt;=13.5,G111&lt;24,I111&gt;=(J111*1.2),E111/D111&gt;=0.85),
(N111
+H111
+K111
+Q111
+F111)*100,
(0.75*(N111
+H111
+K111
+Q111
+F111)*100)))</f>
        <v>83.385092926317952</v>
      </c>
      <c r="D111" s="4">
        <v>60</v>
      </c>
      <c r="E111" s="4">
        <v>39</v>
      </c>
      <c r="F111" s="24">
        <f>IF(E111/D111&gt;=(D111*0.85),(E111/D111)*0.15,((E111/D111)/0.85)*0.15)</f>
        <v>0.11470588235294119</v>
      </c>
      <c r="G111" s="3">
        <v>12.4</v>
      </c>
      <c r="H111" s="24">
        <f>IF(G111&lt;12,
    0,
    IF(G111&lt;=19,
        ((G111 - 14) / (6 ^ 1.5) * 0.15 + 0.85) * 0.4,
        IF(G111&lt;=24,
            (((19 - 14) / (6 ^ 1.5) * 0.15 + 0.85) * 0.4) +
            ((G111 - 19) / (6 ^ 1.5) * 0.15 * 0.1) * 0.4,
            IF(G111&lt;=24,
                (
                    (
                        ((19 - 14) / (6 ^ 1.5) * 0.15 + 0.85) +
                        (5 / (6 ^ 1.5) * 0.15 * 0.1)
                    ) * 0.4
                ) * (1 - ((G111 - 24) / 5)),
                0
            )
        )
    )
)</f>
        <v>0.33346802735257819</v>
      </c>
      <c r="I111" s="22">
        <v>0.4</v>
      </c>
      <c r="J111" s="22">
        <v>0.4</v>
      </c>
      <c r="K111" s="24">
        <f>IF(I111&gt;=(J111*1.2),(((((I111/0.5325)^2)*0.25)+(((I111/J111)^2)*0.75))*(0.25))*(0.15),0)</f>
        <v>0</v>
      </c>
      <c r="L111" s="4">
        <v>1846</v>
      </c>
      <c r="M111" s="4">
        <f>(D111*(L111^2))/450437</f>
        <v>453.92132529077315</v>
      </c>
      <c r="N111" s="24">
        <f>(((M111/100)/2)*0.1)</f>
        <v>0.22696066264538658</v>
      </c>
      <c r="O111" s="4">
        <v>16</v>
      </c>
      <c r="P111" s="4">
        <v>15</v>
      </c>
      <c r="Q111" s="24">
        <f>((O111/15)*0.4)+(((P111*0.1)*0.25)/15)*0.4</f>
        <v>0.4366666666666667</v>
      </c>
      <c r="R111" s="4">
        <f>M111*O111</f>
        <v>7262.7412046523705</v>
      </c>
    </row>
    <row r="112" spans="1:18" x14ac:dyDescent="0.25">
      <c r="A112" t="s">
        <v>145</v>
      </c>
      <c r="B112" t="s">
        <v>169</v>
      </c>
      <c r="C112" s="2">
        <f>(IF(AND(G112&gt;=13.5,G112&lt;24,I112&gt;=(J112*1.2),E112/D112&gt;=0.85),
(N112
+H112
+K112
+Q112
+F112)*100,
(0.75*(N112
+H112
+K112
+Q112
+F112)*100)))</f>
        <v>82.46222628252454</v>
      </c>
      <c r="D112" s="4">
        <v>185</v>
      </c>
      <c r="E112" s="4">
        <v>185</v>
      </c>
      <c r="F112" s="24">
        <f>IF(E112/D112&gt;=(D112*0.85),(E112/D112)*0.15,((E112/D112)/0.85)*0.15)</f>
        <v>0.17647058823529413</v>
      </c>
      <c r="G112" s="3">
        <v>22.6</v>
      </c>
      <c r="H112" s="24">
        <f>IF(G112&lt;12,
    0,
    IF(G112&lt;=19,
        ((G112 - 14) / (6 ^ 1.5) * 0.15 + 0.85) * 0.4,
        IF(G112&lt;=24,
            (((19 - 14) / (6 ^ 1.5) * 0.15 + 0.85) * 0.4) +
            ((G112 - 19) / (6 ^ 1.5) * 0.15 * 0.1) * 0.4,
            IF(G112&lt;=24,
                (
                    (
                        ((19 - 14) / (6 ^ 1.5) * 0.15 + 0.85) +
                        (5 / (6 ^ 1.5) * 0.15 * 0.1)
                    ) * 0.4
                ) * (1 - ((G112 - 24) / 5)),
                0
            )
        )
    )
)</f>
        <v>0.36188210836886309</v>
      </c>
      <c r="I112" s="22">
        <v>0.46</v>
      </c>
      <c r="J112" s="22">
        <v>0.45200000000000001</v>
      </c>
      <c r="K112" s="24">
        <f>IF(I112&gt;=(J112*1.2),(((((I112/0.5325)^2)*0.25)+(((I112/J112)^2)*0.75))*(0.25))*(0.15),0)</f>
        <v>0</v>
      </c>
      <c r="L112" s="4">
        <v>934</v>
      </c>
      <c r="M112" s="4">
        <f>(D112*(L112^2))/450437</f>
        <v>358.28730765900667</v>
      </c>
      <c r="N112" s="24">
        <f>(((M112/100)/2)*0.1)</f>
        <v>0.17914365382950337</v>
      </c>
      <c r="O112" s="4">
        <v>14</v>
      </c>
      <c r="P112" s="4">
        <v>13</v>
      </c>
      <c r="Q112" s="24">
        <f>((O112/15)*0.4)+(((P112*0.1)*0.25)/15)*0.4</f>
        <v>0.38200000000000001</v>
      </c>
      <c r="R112" s="4">
        <f>M112*O112</f>
        <v>5016.0223072260933</v>
      </c>
    </row>
    <row r="113" spans="1:18" x14ac:dyDescent="0.25">
      <c r="A113" t="s">
        <v>134</v>
      </c>
      <c r="B113" t="s">
        <v>169</v>
      </c>
      <c r="C113" s="2">
        <f>(IF(AND(G113&gt;=13.5,G113&lt;24,I113&gt;=(J113*1.2),E113/D113&gt;=0.85),
(N113
+H113
+K113
+Q113
+F113)*100,
(0.75*(N113
+H113
+K113
+Q113
+F113)*100)))</f>
        <v>81.929721430944966</v>
      </c>
      <c r="D113" s="4">
        <v>185</v>
      </c>
      <c r="E113" s="4">
        <v>185</v>
      </c>
      <c r="F113" s="24">
        <f>IF(E113/D113&gt;=(D113*0.85),(E113/D113)*0.15,((E113/D113)/0.85)*0.15)</f>
        <v>0.17647058823529413</v>
      </c>
      <c r="G113" s="3">
        <v>23.8</v>
      </c>
      <c r="H113" s="24">
        <f>IF(G113&lt;12,
    0,
    IF(G113&lt;=19,
        ((G113 - 14) / (6 ^ 1.5) * 0.15 + 0.85) * 0.4,
        IF(G113&lt;=24,
            (((19 - 14) / (6 ^ 1.5) * 0.15 + 0.85) * 0.4) +
            ((G113 - 19) / (6 ^ 1.5) * 0.15 * 0.1) * 0.4,
            IF(G113&lt;=24,
                (
                    (
                        ((19 - 14) / (6 ^ 1.5) * 0.15 + 0.85) +
                        (5 / (6 ^ 1.5) * 0.15 * 0.1)
                    ) * 0.4
                ) * (1 - ((G113 - 24) / 5)),
                0
            )
        )
    )
)</f>
        <v>0.36237200631741973</v>
      </c>
      <c r="I113" s="22">
        <v>0.46</v>
      </c>
      <c r="J113" s="22">
        <v>0.45200000000000001</v>
      </c>
      <c r="K113" s="24">
        <f>IF(I113&gt;=(J113*1.2),(((((I113/0.5325)^2)*0.25)+(((I113/J113)^2)*0.75))*(0.25))*(0.15),0)</f>
        <v>0</v>
      </c>
      <c r="L113" s="4">
        <v>914</v>
      </c>
      <c r="M113" s="4">
        <f>(D113*(L113^2))/450437</f>
        <v>343.10738238643808</v>
      </c>
      <c r="N113" s="24">
        <f>(((M113/100)/2)*0.1)</f>
        <v>0.17155369119321906</v>
      </c>
      <c r="O113" s="4">
        <v>14</v>
      </c>
      <c r="P113" s="4">
        <v>13</v>
      </c>
      <c r="Q113" s="24">
        <f>((O113/15)*0.4)+(((P113*0.1)*0.25)/15)*0.4</f>
        <v>0.38200000000000001</v>
      </c>
      <c r="R113" s="4">
        <f>M113*O113</f>
        <v>4803.5033534101331</v>
      </c>
    </row>
    <row r="114" spans="1:18" x14ac:dyDescent="0.25">
      <c r="A114" t="s">
        <v>148</v>
      </c>
      <c r="B114" t="s">
        <v>169</v>
      </c>
      <c r="C114" s="2">
        <f>(IF(AND(G114&gt;=13.5,G114&lt;24,I114&gt;=(J114*1.2),E114/D114&gt;=0.85),
(N114
+H114
+K114
+Q114
+F114)*100,
(0.75*(N114
+H114
+K114
+Q114
+F114)*100)))</f>
        <v>81.376706067116686</v>
      </c>
      <c r="D114" s="4">
        <v>230</v>
      </c>
      <c r="E114" s="4">
        <v>230</v>
      </c>
      <c r="F114" s="24">
        <f>IF(E114/D114&gt;=(D114*0.85),(E114/D114)*0.15,((E114/D114)/0.85)*0.15)</f>
        <v>0.17647058823529413</v>
      </c>
      <c r="G114" s="3">
        <v>20.7</v>
      </c>
      <c r="H114" s="24">
        <f>IF(G114&lt;12,
    0,
    IF(G114&lt;=19,
        ((G114 - 14) / (6 ^ 1.5) * 0.15 + 0.85) * 0.4,
        IF(G114&lt;=24,
            (((19 - 14) / (6 ^ 1.5) * 0.15 + 0.85) * 0.4) +
            ((G114 - 19) / (6 ^ 1.5) * 0.15 * 0.1) * 0.4,
            IF(G114&lt;=24,
                (
                    (
                        ((19 - 14) / (6 ^ 1.5) * 0.15 + 0.85) +
                        (5 / (6 ^ 1.5) * 0.15 * 0.1)
                    ) * 0.4
                ) * (1 - ((G114 - 24) / 5)),
                0
            )
        )
    )
)</f>
        <v>0.36110643661698172</v>
      </c>
      <c r="I114" s="22">
        <v>0.45</v>
      </c>
      <c r="J114" s="22">
        <v>0.45200000000000001</v>
      </c>
      <c r="K114" s="24">
        <f>IF(I114&gt;=(J114*1.2),(((((I114/0.5325)^2)*0.25)+(((I114/J114)^2)*0.75))*(0.25))*(0.15),0)</f>
        <v>0</v>
      </c>
      <c r="L114" s="4">
        <v>805</v>
      </c>
      <c r="M114" s="4">
        <f>(D114*(L114^2))/450437</f>
        <v>330.89144541856018</v>
      </c>
      <c r="N114" s="24">
        <f>(((M114/100)/2)*0.1)</f>
        <v>0.1654457227092801</v>
      </c>
      <c r="O114" s="4">
        <v>14</v>
      </c>
      <c r="P114" s="4">
        <v>13</v>
      </c>
      <c r="Q114" s="24">
        <f>((O114/15)*0.4)+(((P114*0.1)*0.25)/15)*0.4</f>
        <v>0.38200000000000001</v>
      </c>
      <c r="R114" s="4">
        <f>M114*O114</f>
        <v>4632.4802358598427</v>
      </c>
    </row>
    <row r="115" spans="1:18" x14ac:dyDescent="0.25">
      <c r="A115" t="s">
        <v>130</v>
      </c>
      <c r="B115" t="s">
        <v>169</v>
      </c>
      <c r="C115" s="2">
        <f>(IF(AND(G115&gt;=13.5,G115&lt;24,I115&gt;=(J115*1.2),E115/D115&gt;=0.85),
(N115
+H115
+K115
+Q115
+F115)*100,
(0.75*(N115
+H115
+K115
+Q115
+F115)*100)))</f>
        <v>81.085838565582222</v>
      </c>
      <c r="D115" s="4">
        <v>230</v>
      </c>
      <c r="E115" s="4">
        <v>230</v>
      </c>
      <c r="F115" s="24">
        <f>IF(E115/D115&gt;=(D115*0.85),(E115/D115)*0.15,((E115/D115)/0.85)*0.15)</f>
        <v>0.17647058823529413</v>
      </c>
      <c r="G115" s="3">
        <v>22.2</v>
      </c>
      <c r="H115" s="24">
        <f>IF(G115&lt;12,
    0,
    IF(G115&lt;=19,
        ((G115 - 14) / (6 ^ 1.5) * 0.15 + 0.85) * 0.4,
        IF(G115&lt;=24,
            (((19 - 14) / (6 ^ 1.5) * 0.15 + 0.85) * 0.4) +
            ((G115 - 19) / (6 ^ 1.5) * 0.15 * 0.1) * 0.4,
            IF(G115&lt;=24,
                (
                    (
                        ((19 - 14) / (6 ^ 1.5) * 0.15 + 0.85) +
                        (5 / (6 ^ 1.5) * 0.15 * 0.1)
                    ) * 0.4
                ) * (1 - ((G115 - 24) / 5)),
                0
            )
        )
    )
)</f>
        <v>0.3617188090526775</v>
      </c>
      <c r="I115" s="22">
        <v>0.45</v>
      </c>
      <c r="J115" s="22">
        <v>0.45200000000000001</v>
      </c>
      <c r="K115" s="24">
        <f>IF(I115&gt;=(J115*1.2),(((((I115/0.5325)^2)*0.25)+(((I115/J115)^2)*0.75))*(0.25))*(0.15),0)</f>
        <v>0</v>
      </c>
      <c r="L115" s="4">
        <v>794</v>
      </c>
      <c r="M115" s="4">
        <f>(D115*(L115^2))/450437</f>
        <v>321.91023383958247</v>
      </c>
      <c r="N115" s="24">
        <f>(((M115/100)/2)*0.1)</f>
        <v>0.16095511691979125</v>
      </c>
      <c r="O115" s="4">
        <v>14</v>
      </c>
      <c r="P115" s="4">
        <v>13</v>
      </c>
      <c r="Q115" s="24">
        <f>((O115/15)*0.4)+(((P115*0.1)*0.25)/15)*0.4</f>
        <v>0.38200000000000001</v>
      </c>
      <c r="R115" s="4">
        <f>M115*O115</f>
        <v>4506.7432737541549</v>
      </c>
    </row>
    <row r="116" spans="1:18" x14ac:dyDescent="0.25">
      <c r="A116" t="s">
        <v>135</v>
      </c>
      <c r="B116" t="s">
        <v>169</v>
      </c>
      <c r="C116" s="2">
        <f>(IF(AND(G116&gt;=13.5,G116&lt;24,I116&gt;=(J116*1.2),E116/D116&gt;=0.85),
(N116
+H116
+K116
+Q116
+F116)*100,
(0.75*(N116
+H116
+K116
+Q116
+F116)*100)))</f>
        <v>81.010813126154375</v>
      </c>
      <c r="D116" s="4">
        <v>200</v>
      </c>
      <c r="E116" s="4">
        <v>200</v>
      </c>
      <c r="F116" s="24">
        <f>IF(E116/D116&gt;=(D116*0.85),(E116/D116)*0.15,((E116/D116)/0.85)*0.15)</f>
        <v>0.17647058823529413</v>
      </c>
      <c r="G116" s="3">
        <v>18</v>
      </c>
      <c r="H116" s="24">
        <f>IF(G116&lt;12,
    0,
    IF(G116&lt;=19,
        ((G116 - 14) / (6 ^ 1.5) * 0.15 + 0.85) * 0.4,
        IF(G116&lt;=24,
            (((19 - 14) / (6 ^ 1.5) * 0.15 + 0.85) * 0.4) +
            ((G116 - 19) / (6 ^ 1.5) * 0.15 * 0.1) * 0.4,
            IF(G116&lt;=24,
                (
                    (
                        ((19 - 14) / (6 ^ 1.5) * 0.15 + 0.85) +
                        (5 / (6 ^ 1.5) * 0.15 * 0.1)
                    ) * 0.4
                ) * (1 - ((G116 - 24) / 5)),
                0
            )
        )
    )
)</f>
        <v>0.35632993161855453</v>
      </c>
      <c r="I116" s="22">
        <v>0.54</v>
      </c>
      <c r="J116" s="22">
        <v>0.45200000000000001</v>
      </c>
      <c r="K116" s="24">
        <f>IF(I116&gt;=(J116*1.2),(((((I116/0.5325)^2)*0.25)+(((I116/J116)^2)*0.75))*(0.25))*(0.15),0)</f>
        <v>0</v>
      </c>
      <c r="L116" s="4">
        <v>863</v>
      </c>
      <c r="M116" s="4">
        <f>(D116*(L116^2))/450437</f>
        <v>330.68731032308625</v>
      </c>
      <c r="N116" s="24">
        <f>(((M116/100)/2)*0.1)</f>
        <v>0.16534365516154315</v>
      </c>
      <c r="O116" s="4">
        <v>14</v>
      </c>
      <c r="P116" s="4">
        <v>13</v>
      </c>
      <c r="Q116" s="24">
        <f>((O116/15)*0.4)+(((P116*0.1)*0.25)/15)*0.4</f>
        <v>0.38200000000000001</v>
      </c>
      <c r="R116" s="4">
        <f>M116*O116</f>
        <v>4629.6223445232072</v>
      </c>
    </row>
    <row r="117" spans="1:18" x14ac:dyDescent="0.25">
      <c r="A117" t="s">
        <v>41</v>
      </c>
      <c r="B117" t="s">
        <v>166</v>
      </c>
      <c r="C117" s="2">
        <f>(IF(AND(G117&gt;=13.5,G117&lt;24,I117&gt;=(J117*1.2),E117/D117&gt;=0.85),
(N117
+H117
+K117
+Q117
+F117)*100,
(0.75*(N117
+H117
+K117
+Q117
+F117)*100)))</f>
        <v>80.884984121588559</v>
      </c>
      <c r="D117" s="4">
        <v>92</v>
      </c>
      <c r="E117" s="4">
        <v>43.92</v>
      </c>
      <c r="F117" s="24">
        <f>IF(E117/D117&gt;=(D117*0.85),(E117/D117)*0.15,((E117/D117)/0.85)*0.15)</f>
        <v>8.42455242966752E-2</v>
      </c>
      <c r="G117" s="3">
        <v>14.5</v>
      </c>
      <c r="H117" s="24">
        <f>IF(G117&lt;12,
    0,
    IF(G117&lt;=19,
        ((G117 - 14) / (6 ^ 1.5) * 0.15 + 0.85) * 0.4,
        IF(G117&lt;=24,
            (((19 - 14) / (6 ^ 1.5) * 0.15 + 0.85) * 0.4) +
            ((G117 - 19) / (6 ^ 1.5) * 0.15 * 0.1) * 0.4,
            IF(G117&lt;=24,
                (
                    (
                        ((19 - 14) / (6 ^ 1.5) * 0.15 + 0.85) +
                        (5 / (6 ^ 1.5) * 0.15 * 0.1)
                    ) * 0.4
                ) * (1 - ((G117 - 24) / 5)),
                0
            )
        )
    )
)</f>
        <v>0.34204124145231929</v>
      </c>
      <c r="I117" s="22">
        <v>0.36</v>
      </c>
      <c r="J117" s="22">
        <v>0.35499999999999998</v>
      </c>
      <c r="K117" s="24">
        <f>IF(I117&gt;=(J117*1.2),(((((I117/0.5325)^2)*0.25)+(((I117/J117)^2)*0.75))*(0.25))*(0.15),0)</f>
        <v>0</v>
      </c>
      <c r="L117" s="4">
        <v>1255</v>
      </c>
      <c r="M117" s="4">
        <f>(D117*(L117^2))/450437</f>
        <v>321.69271174437267</v>
      </c>
      <c r="N117" s="24">
        <f>(((M117/100)/2)*0.1)</f>
        <v>0.16084635587218635</v>
      </c>
      <c r="O117" s="4">
        <v>18</v>
      </c>
      <c r="P117" s="4">
        <v>17</v>
      </c>
      <c r="Q117" s="24">
        <f>((O117/15)*0.4)+(((P117*0.1)*0.25)/15)*0.4</f>
        <v>0.49133333333333329</v>
      </c>
      <c r="R117" s="4">
        <f>M117*O117</f>
        <v>5790.4688113987086</v>
      </c>
    </row>
    <row r="118" spans="1:18" x14ac:dyDescent="0.25">
      <c r="A118" t="s">
        <v>149</v>
      </c>
      <c r="B118" t="s">
        <v>169</v>
      </c>
      <c r="C118" s="2">
        <f>(IF(AND(G118&gt;=13.5,G118&lt;24,I118&gt;=(J118*1.2),E118/D118&gt;=0.85),
(N118
+H118
+K118
+Q118
+F118)*100,
(0.75*(N118
+H118
+K118
+Q118
+F118)*100)))</f>
        <v>80.330856442087679</v>
      </c>
      <c r="D118" s="4">
        <v>230</v>
      </c>
      <c r="E118" s="4">
        <v>230</v>
      </c>
      <c r="F118" s="24">
        <f>IF(E118/D118&gt;=(D118*0.85),(E118/D118)*0.15,((E118/D118)/0.85)*0.15)</f>
        <v>0.17647058823529413</v>
      </c>
      <c r="G118" s="3">
        <v>23.9</v>
      </c>
      <c r="H118" s="24">
        <f>IF(G118&lt;12,
    0,
    IF(G118&lt;=19,
        ((G118 - 14) / (6 ^ 1.5) * 0.15 + 0.85) * 0.4,
        IF(G118&lt;=24,
            (((19 - 14) / (6 ^ 1.5) * 0.15 + 0.85) * 0.4) +
            ((G118 - 19) / (6 ^ 1.5) * 0.15 * 0.1) * 0.4,
            IF(G118&lt;=24,
                (
                    (
                        ((19 - 14) / (6 ^ 1.5) * 0.15 + 0.85) +
                        (5 / (6 ^ 1.5) * 0.15 * 0.1)
                    ) * 0.4
                ) * (1 - ((G118 - 24) / 5)),
                0
            )
        )
    )
)</f>
        <v>0.36241283114646611</v>
      </c>
      <c r="I118" s="22">
        <v>0.45</v>
      </c>
      <c r="J118" s="22">
        <v>0.45200000000000001</v>
      </c>
      <c r="K118" s="24">
        <f>IF(I118&gt;=(J118*1.2),(((((I118/0.5325)^2)*0.25)+(((I118/J118)^2)*0.75))*(0.25))*(0.15),0)</f>
        <v>0</v>
      </c>
      <c r="L118" s="4">
        <v>767</v>
      </c>
      <c r="M118" s="4">
        <f>(D118*(L118^2))/450437</f>
        <v>300.38933302548412</v>
      </c>
      <c r="N118" s="24">
        <f>(((M118/100)/2)*0.1)</f>
        <v>0.15019466651274208</v>
      </c>
      <c r="O118" s="4">
        <v>14</v>
      </c>
      <c r="P118" s="4">
        <v>13</v>
      </c>
      <c r="Q118" s="24">
        <f>((O118/15)*0.4)+(((P118*0.1)*0.25)/15)*0.4</f>
        <v>0.38200000000000001</v>
      </c>
      <c r="R118" s="4">
        <f>M118*O118</f>
        <v>4205.4506623567777</v>
      </c>
    </row>
    <row r="119" spans="1:18" x14ac:dyDescent="0.25">
      <c r="A119" t="s">
        <v>143</v>
      </c>
      <c r="B119" t="s">
        <v>169</v>
      </c>
      <c r="C119" s="2">
        <f>(IF(AND(G119&gt;=13.5,G119&lt;24,I119&gt;=(J119*1.2),E119/D119&gt;=0.85),
(N119
+H119
+K119
+Q119
+F119)*100,
(0.75*(N119
+H119
+K119
+Q119
+F119)*100)))</f>
        <v>79.332823678802598</v>
      </c>
      <c r="D119" s="4">
        <v>185</v>
      </c>
      <c r="E119" s="4">
        <v>185</v>
      </c>
      <c r="F119" s="24">
        <f>IF(E119/D119&gt;=(D119*0.85),(E119/D119)*0.15,((E119/D119)/0.85)*0.15)</f>
        <v>0.17647058823529413</v>
      </c>
      <c r="G119" s="3">
        <v>21.8</v>
      </c>
      <c r="H119" s="24">
        <f>IF(G119&lt;12,
    0,
    IF(G119&lt;=19,
        ((G119 - 14) / (6 ^ 1.5) * 0.15 + 0.85) * 0.4,
        IF(G119&lt;=24,
            (((19 - 14) / (6 ^ 1.5) * 0.15 + 0.85) * 0.4) +
            ((G119 - 19) / (6 ^ 1.5) * 0.15 * 0.1) * 0.4,
            IF(G119&lt;=24,
                (
                    (
                        ((19 - 14) / (6 ^ 1.5) * 0.15 + 0.85) +
                        (5 / (6 ^ 1.5) * 0.15 * 0.1)
                    ) * 0.4
                ) * (1 - ((G119 - 24) / 5)),
                0
            )
        )
    )
)</f>
        <v>0.36155550973649198</v>
      </c>
      <c r="I119" s="22">
        <v>0.45</v>
      </c>
      <c r="J119" s="22">
        <v>0.45200000000000001</v>
      </c>
      <c r="K119" s="24">
        <f>IF(I119&gt;=(J119*1.2),(((((I119/0.5325)^2)*0.25)+(((I119/J119)^2)*0.75))*(0.25))*(0.15),0)</f>
        <v>0</v>
      </c>
      <c r="L119" s="4">
        <v>819</v>
      </c>
      <c r="M119" s="4">
        <f>(D119*(L119^2))/450437</f>
        <v>275.48976882449711</v>
      </c>
      <c r="N119" s="24">
        <f>(((M119/100)/2)*0.1)</f>
        <v>0.13774488441224855</v>
      </c>
      <c r="O119" s="4">
        <v>14</v>
      </c>
      <c r="P119" s="4">
        <v>13</v>
      </c>
      <c r="Q119" s="24">
        <f>((O119/15)*0.4)+(((P119*0.1)*0.25)/15)*0.4</f>
        <v>0.38200000000000001</v>
      </c>
      <c r="R119" s="4">
        <f>M119*O119</f>
        <v>3856.8567635429595</v>
      </c>
    </row>
    <row r="120" spans="1:18" x14ac:dyDescent="0.25">
      <c r="A120" t="s">
        <v>6</v>
      </c>
      <c r="B120" s="25" t="s">
        <v>164</v>
      </c>
      <c r="C120" s="1">
        <f>(IF(AND(G120&gt;=13.5,G120&lt;24,I120&gt;=(J120*1.2),E120/D120&gt;=0.85),
(N120
+H120
+K120
+Q120
+F120)*100,
(0.75*(N120
+H120
+K120
+Q120
+F120)*100)))</f>
        <v>68.218616239562024</v>
      </c>
      <c r="D120" s="4">
        <v>90</v>
      </c>
      <c r="E120" s="4">
        <v>90</v>
      </c>
      <c r="F120" s="24">
        <f>IF(E120/D120&gt;=(D120*0.85),(E120/D120)*0.15,((E120/D120)/0.85)*0.15)</f>
        <v>0.17647058823529413</v>
      </c>
      <c r="G120" s="3">
        <v>13.24</v>
      </c>
      <c r="H120" s="24">
        <f>IF(G120&lt;12,
    0,
    IF(G120&lt;=19,
        ((G120 - 14) / (6 ^ 1.5) * 0.15 + 0.85) * 0.4,
        IF(G120&lt;=24,
            (((19 - 14) / (6 ^ 1.5) * 0.15 + 0.85) * 0.4) +
            ((G120 - 19) / (6 ^ 1.5) * 0.15 * 0.1) * 0.4,
            IF(G120&lt;=24,
                (
                    (
                        ((19 - 14) / (6 ^ 1.5) * 0.15 + 0.85) +
                        (5 / (6 ^ 1.5) * 0.15 * 0.1)
                    ) * 0.4
                ) * (1 - ((G120 - 24) / 5)),
                0
            )
        )
    )
)</f>
        <v>0.33689731299247466</v>
      </c>
      <c r="I120" s="22">
        <v>0.51600000000000001</v>
      </c>
      <c r="J120" s="22">
        <v>0.35499999999999998</v>
      </c>
      <c r="K120" s="24">
        <f>IF(I120&gt;=(J120*1.2),(((((I120/0.5325)^2)*0.25)+(((I120/J120)^2)*0.75))*(0.25))*(0.15),0)</f>
        <v>6.8223368379289828E-2</v>
      </c>
      <c r="L120" s="4">
        <v>909.6</v>
      </c>
      <c r="M120" s="4">
        <f>(D120*(L120^2))/450437</f>
        <v>165.31389384087009</v>
      </c>
      <c r="N120" s="24">
        <f>(((M120/100)/2)*0.1)</f>
        <v>8.2656946920435057E-2</v>
      </c>
      <c r="O120" s="26">
        <v>9</v>
      </c>
      <c r="P120" s="26">
        <v>8</v>
      </c>
      <c r="Q120" s="27">
        <f>((O120/15)*0.4)+(((P120*0.1)*0.25)/15)*0.4</f>
        <v>0.24533333333333332</v>
      </c>
      <c r="R120" s="26">
        <f>M120*O120</f>
        <v>1487.8250445678309</v>
      </c>
    </row>
    <row r="121" spans="1:18" x14ac:dyDescent="0.25">
      <c r="A121" t="s">
        <v>82</v>
      </c>
      <c r="B121" t="s">
        <v>167</v>
      </c>
      <c r="C121" s="2">
        <f>(IF(AND(G121&gt;=13.5,G121&lt;24,I121&gt;=(J121*1.2),E121/D121&gt;=0.85),
(N121
+H121
+K121
+Q121
+F121)*100,
(0.75*(N121
+H121
+K121
+Q121
+F121)*100)))</f>
        <v>67.672410290406006</v>
      </c>
      <c r="D121" s="4">
        <v>155</v>
      </c>
      <c r="E121" s="4">
        <v>155</v>
      </c>
      <c r="F121" s="24">
        <f>IF(E121/D121&gt;=(D121*0.85),(E121/D121)*0.15,((E121/D121)/0.85)*0.15)</f>
        <v>0.17647058823529413</v>
      </c>
      <c r="G121" s="3">
        <v>11.9</v>
      </c>
      <c r="H121" s="24">
        <f>IF(G121&lt;12,
    0,
    IF(G121&lt;=19,
        ((G121 - 14) / (6 ^ 1.5) * 0.15 + 0.85) * 0.4,
        IF(G121&lt;=24,
            (((19 - 14) / (6 ^ 1.5) * 0.15 + 0.85) * 0.4) +
            ((G121 - 19) / (6 ^ 1.5) * 0.15 * 0.1) * 0.4,
            IF(G121&lt;=24,
                (
                    (
                        ((19 - 14) / (6 ^ 1.5) * 0.15 + 0.85) +
                        (5 / (6 ^ 1.5) * 0.15 * 0.1)
                    ) * 0.4
                ) * (1 - ((G121 - 24) / 5)),
                0
            )
        )
    )
)</f>
        <v>0</v>
      </c>
      <c r="I121" s="22">
        <v>0.68</v>
      </c>
      <c r="J121" s="22">
        <v>0.4</v>
      </c>
      <c r="K121" s="24">
        <f>IF(I121&gt;=(J121*1.2),(((((I121/0.5325)^2)*0.25)+(((I121/J121)^2)*0.75))*(0.25))*(0.15),0)</f>
        <v>9.6569221963234794E-2</v>
      </c>
      <c r="L121" s="4">
        <v>1058</v>
      </c>
      <c r="M121" s="4">
        <f>(D121*(L121^2))/450437</f>
        <v>385.18465401376886</v>
      </c>
      <c r="N121" s="24">
        <f>(((M121/100)/2)*0.1)</f>
        <v>0.19259232700688445</v>
      </c>
      <c r="O121" s="4">
        <v>16</v>
      </c>
      <c r="P121" s="4">
        <v>15</v>
      </c>
      <c r="Q121" s="24">
        <f>((O121/15)*0.4)+(((P121*0.1)*0.25)/15)*0.4</f>
        <v>0.4366666666666667</v>
      </c>
      <c r="R121" s="4">
        <f>M121*O121</f>
        <v>6162.9544642203018</v>
      </c>
    </row>
    <row r="122" spans="1:18" x14ac:dyDescent="0.25">
      <c r="A122" t="s">
        <v>48</v>
      </c>
      <c r="B122" t="s">
        <v>166</v>
      </c>
      <c r="C122" s="2">
        <f>(IF(AND(G122&gt;=13.5,G122&lt;24,I122&gt;=(J122*1.2),E122/D122&gt;=0.85),
(N122
+H122
+K122
+Q122
+F122)*100,
(0.75*(N122
+H122
+K122
+Q122
+F122)*100)))</f>
        <v>67.306720199429876</v>
      </c>
      <c r="D122" s="4">
        <v>50</v>
      </c>
      <c r="E122" s="4">
        <v>50</v>
      </c>
      <c r="F122" s="24">
        <f>IF(E122/D122&gt;=(D122*0.85),(E122/D122)*0.15,((E122/D122)/0.85)*0.15)</f>
        <v>0.17647058823529413</v>
      </c>
      <c r="G122" s="3">
        <v>9.6</v>
      </c>
      <c r="H122" s="24">
        <f>IF(G122&lt;12,
    0,
    IF(G122&lt;=19,
        ((G122 - 14) / (6 ^ 1.5) * 0.15 + 0.85) * 0.4,
        IF(G122&lt;=24,
            (((19 - 14) / (6 ^ 1.5) * 0.15 + 0.85) * 0.4) +
            ((G122 - 19) / (6 ^ 1.5) * 0.15 * 0.1) * 0.4,
            IF(G122&lt;=24,
                (
                    (
                        ((19 - 14) / (6 ^ 1.5) * 0.15 + 0.85) +
                        (5 / (6 ^ 1.5) * 0.15 * 0.1)
                    ) * 0.4
                ) * (1 - ((G122 - 24) / 5)),
                0
            )
        )
    )
)</f>
        <v>0</v>
      </c>
      <c r="I122" s="22">
        <v>0.37</v>
      </c>
      <c r="J122" s="22">
        <v>0.35499999999999998</v>
      </c>
      <c r="K122" s="24">
        <f>IF(I122&gt;=(J122*1.2),(((((I122/0.5325)^2)*0.25)+(((I122/J122)^2)*0.75))*(0.25))*(0.15),0)</f>
        <v>0</v>
      </c>
      <c r="L122" s="4">
        <v>2034</v>
      </c>
      <c r="M122" s="4">
        <f>(D122*(L122^2))/450437</f>
        <v>459.23802884754139</v>
      </c>
      <c r="N122" s="24">
        <f>(((M122/100)/2)*0.1)</f>
        <v>0.2296190144237707</v>
      </c>
      <c r="O122" s="4">
        <v>18</v>
      </c>
      <c r="P122" s="4">
        <v>17</v>
      </c>
      <c r="Q122" s="24">
        <f>((O122/15)*0.4)+(((P122*0.1)*0.25)/15)*0.4</f>
        <v>0.49133333333333329</v>
      </c>
      <c r="R122" s="4">
        <f>M122*O122</f>
        <v>8266.2845192557452</v>
      </c>
    </row>
    <row r="123" spans="1:18" x14ac:dyDescent="0.25">
      <c r="A123" t="s">
        <v>14</v>
      </c>
      <c r="B123" s="25" t="s">
        <v>164</v>
      </c>
      <c r="C123" s="1">
        <f>(IF(AND(G123&gt;=13.5,G123&lt;24,I123&gt;=(J123*1.2),E123/D123&gt;=0.85),
(N123
+H123
+K123
+Q123
+F123)*100,
(0.75*(N123
+H123
+K123
+Q123
+F123)*100)))</f>
        <v>67.254982180091147</v>
      </c>
      <c r="D123" s="4">
        <v>90</v>
      </c>
      <c r="E123" s="4">
        <v>90</v>
      </c>
      <c r="F123" s="24">
        <f>IF(E123/D123&gt;=(D123*0.85),(E123/D123)*0.15,((E123/D123)/0.85)*0.15)</f>
        <v>0.17647058823529413</v>
      </c>
      <c r="G123" s="3">
        <v>12.84</v>
      </c>
      <c r="H123" s="24">
        <f>IF(G123&lt;12,
    0,
    IF(G123&lt;=19,
        ((G123 - 14) / (6 ^ 1.5) * 0.15 + 0.85) * 0.4,
        IF(G123&lt;=24,
            (((19 - 14) / (6 ^ 1.5) * 0.15 + 0.85) * 0.4) +
            ((G123 - 19) / (6 ^ 1.5) * 0.15 * 0.1) * 0.4,
            IF(G123&lt;=24,
                (
                    (
                        ((19 - 14) / (6 ^ 1.5) * 0.15 + 0.85) +
                        (5 / (6 ^ 1.5) * 0.15 * 0.1)
                    ) * 0.4
                ) * (1 - ((G123 - 24) / 5)),
                0
            )
        )
    )
)</f>
        <v>0.33526431983061922</v>
      </c>
      <c r="I123" s="22">
        <v>0.50600000000000001</v>
      </c>
      <c r="J123" s="22">
        <v>0.35499999999999998</v>
      </c>
      <c r="K123" s="24">
        <f>IF(I123&gt;=(J123*1.2),(((((I123/0.5325)^2)*0.25)+(((I123/J123)^2)*0.75))*(0.25))*(0.15),0)</f>
        <v>6.5604674998346893E-2</v>
      </c>
      <c r="L123" s="4">
        <v>861</v>
      </c>
      <c r="M123" s="4">
        <f>(D123*(L123^2))/450437</f>
        <v>148.12035867391</v>
      </c>
      <c r="N123" s="24">
        <f>(((M123/100)/2)*0.1)</f>
        <v>7.4060179336955009E-2</v>
      </c>
      <c r="O123" s="26">
        <v>9</v>
      </c>
      <c r="P123" s="26">
        <v>8</v>
      </c>
      <c r="Q123" s="27">
        <f>((O123/15)*0.4)+(((P123*0.1)*0.25)/15)*0.4</f>
        <v>0.24533333333333332</v>
      </c>
      <c r="R123" s="26">
        <f>M123*O123</f>
        <v>1333.08322806519</v>
      </c>
    </row>
    <row r="124" spans="1:18" x14ac:dyDescent="0.25">
      <c r="A124" t="s">
        <v>79</v>
      </c>
      <c r="B124" t="s">
        <v>167</v>
      </c>
      <c r="C124" s="2">
        <f>(IF(AND(G124&gt;=13.5,G124&lt;24,I124&gt;=(J124*1.2),E124/D124&gt;=0.85),
(N124
+H124
+K124
+Q124
+F124)*100,
(0.75*(N124
+H124
+K124
+Q124
+F124)*100)))</f>
        <v>66.80221267946979</v>
      </c>
      <c r="D124" s="4">
        <v>135</v>
      </c>
      <c r="E124" s="4">
        <v>135</v>
      </c>
      <c r="F124" s="24">
        <f>IF(E124/D124&gt;=(D124*0.85),(E124/D124)*0.15,((E124/D124)/0.85)*0.15)</f>
        <v>0.17647058823529413</v>
      </c>
      <c r="G124" s="3">
        <v>10.8</v>
      </c>
      <c r="H124" s="24">
        <f>IF(G124&lt;12,
    0,
    IF(G124&lt;=19,
        ((G124 - 14) / (6 ^ 1.5) * 0.15 + 0.85) * 0.4,
        IF(G124&lt;=24,
            (((19 - 14) / (6 ^ 1.5) * 0.15 + 0.85) * 0.4) +
            ((G124 - 19) / (6 ^ 1.5) * 0.15 * 0.1) * 0.4,
            IF(G124&lt;=24,
                (
                    (
                        ((19 - 14) / (6 ^ 1.5) * 0.15 + 0.85) +
                        (5 / (6 ^ 1.5) * 0.15 * 0.1)
                    ) * 0.4
                ) * (1 - ((G124 - 24) / 5)),
                0
            )
        )
    )
)</f>
        <v>0</v>
      </c>
      <c r="I124" s="22">
        <v>0.65</v>
      </c>
      <c r="J124" s="22">
        <v>0.4</v>
      </c>
      <c r="K124" s="24">
        <f>IF(I124&gt;=(J124*1.2),(((((I124/0.5325)^2)*0.25)+(((I124/J124)^2)*0.75))*(0.25))*(0.15),0)</f>
        <v>8.8236367386389944E-2</v>
      </c>
      <c r="L124" s="4">
        <v>1124</v>
      </c>
      <c r="M124" s="4">
        <f>(D124*(L124^2))/450437</f>
        <v>378.64509354249316</v>
      </c>
      <c r="N124" s="24">
        <f>(((M124/100)/2)*0.1)</f>
        <v>0.1893225467712466</v>
      </c>
      <c r="O124" s="4">
        <v>16</v>
      </c>
      <c r="P124" s="4">
        <v>15</v>
      </c>
      <c r="Q124" s="24">
        <f>((O124/15)*0.4)+(((P124*0.1)*0.25)/15)*0.4</f>
        <v>0.4366666666666667</v>
      </c>
      <c r="R124" s="4">
        <f>M124*O124</f>
        <v>6058.3214966798905</v>
      </c>
    </row>
    <row r="125" spans="1:18" x14ac:dyDescent="0.25">
      <c r="A125" t="s">
        <v>2</v>
      </c>
      <c r="B125" s="25" t="s">
        <v>164</v>
      </c>
      <c r="C125" s="1">
        <f>(IF(AND(G125&gt;=13.5,G125&lt;24,I125&gt;=(J125*1.2),E125/D125&gt;=0.85),
(N125
+H125
+K125
+Q125
+F125)*100,
(0.75*(N125
+H125
+K125
+Q125
+F125)*100)))</f>
        <v>65.993434638647642</v>
      </c>
      <c r="D125" s="4">
        <v>90</v>
      </c>
      <c r="E125" s="4">
        <v>90</v>
      </c>
      <c r="F125" s="24">
        <f>IF(E125/D125&gt;=(D125*0.85),(E125/D125)*0.15,((E125/D125)/0.85)*0.15)</f>
        <v>0.17647058823529413</v>
      </c>
      <c r="G125" s="3">
        <v>21.94</v>
      </c>
      <c r="H125" s="24">
        <f>IF(G125&lt;12,
    0,
    IF(G125&lt;=19,
        ((G125 - 14) / (6 ^ 1.5) * 0.15 + 0.85) * 0.4,
        IF(G125&lt;=24,
            (((19 - 14) / (6 ^ 1.5) * 0.15 + 0.85) * 0.4) +
            ((G125 - 19) / (6 ^ 1.5) * 0.15 * 0.1) * 0.4,
            IF(G125&lt;=24,
                (
                    (
                        ((19 - 14) / (6 ^ 1.5) * 0.15 + 0.85) +
                        (5 / (6 ^ 1.5) * 0.15 * 0.1)
                    ) * 0.4
                ) * (1 - ((G125 - 24) / 5)),
                0
            )
        )
    )
)</f>
        <v>0.36161266449715695</v>
      </c>
      <c r="I125" s="22">
        <v>0.36599999999999999</v>
      </c>
      <c r="J125" s="22">
        <v>0.35499999999999998</v>
      </c>
      <c r="K125" s="24">
        <f>IF(I125&gt;=(J125*1.2),(((((I125/0.5325)^2)*0.25)+(((I125/J125)^2)*0.75))*(0.25))*(0.15),0)</f>
        <v>0</v>
      </c>
      <c r="L125" s="4">
        <v>982.8</v>
      </c>
      <c r="M125" s="4">
        <f>(D125*(L125^2))/450437</f>
        <v>192.99175156570175</v>
      </c>
      <c r="N125" s="24">
        <f>(((M125/100)/2)*0.1)</f>
        <v>9.6495875782850876E-2</v>
      </c>
      <c r="O125" s="26">
        <v>9</v>
      </c>
      <c r="P125" s="26">
        <v>8</v>
      </c>
      <c r="Q125" s="27">
        <f>((O125/15)*0.4)+(((P125*0.1)*0.25)/15)*0.4</f>
        <v>0.24533333333333332</v>
      </c>
      <c r="R125" s="26">
        <f>M125*O125</f>
        <v>1736.9257640913156</v>
      </c>
    </row>
    <row r="126" spans="1:18" x14ac:dyDescent="0.25">
      <c r="A126" t="s">
        <v>11</v>
      </c>
      <c r="B126" s="25" t="s">
        <v>164</v>
      </c>
      <c r="C126" s="2">
        <f>(IF(AND(G126&gt;=13.5,G126&lt;24,I126&gt;=(J126*1.2),E126/D126&gt;=0.85),
(N126
+H126
+K126
+Q126
+F126)*100,
(0.75*(N126
+H126
+K126
+Q126
+F126)*100)))</f>
        <v>65.666042350382313</v>
      </c>
      <c r="D126" s="4">
        <v>102</v>
      </c>
      <c r="E126" s="4">
        <v>102</v>
      </c>
      <c r="F126" s="24">
        <f>IF(E126/D126&gt;=(D126*0.85),(E126/D126)*0.15,((E126/D126)/0.85)*0.15)</f>
        <v>0.17647058823529413</v>
      </c>
      <c r="G126" s="3">
        <v>19.46</v>
      </c>
      <c r="H126" s="24">
        <f>IF(G126&lt;12,
    0,
    IF(G126&lt;=19,
        ((G126 - 14) / (6 ^ 1.5) * 0.15 + 0.85) * 0.4,
        IF(G126&lt;=24,
            (((19 - 14) / (6 ^ 1.5) * 0.15 + 0.85) * 0.4) +
            ((G126 - 19) / (6 ^ 1.5) * 0.15 * 0.1) * 0.4,
            IF(G126&lt;=24,
                (
                    (
                        ((19 - 14) / (6 ^ 1.5) * 0.15 + 0.85) +
                        (5 / (6 ^ 1.5) * 0.15 * 0.1)
                    ) * 0.4
                ) * (1 - ((G126 - 24) / 5)),
                0
            )
        )
    )
)</f>
        <v>0.36060020873680654</v>
      </c>
      <c r="I126" s="22">
        <v>0.39</v>
      </c>
      <c r="J126" s="22">
        <v>0.35499999999999998</v>
      </c>
      <c r="K126" s="24">
        <f>IF(I126&gt;=(J126*1.2),(((((I126/0.5325)^2)*0.25)+(((I126/J126)^2)*0.75))*(0.25))*(0.15),0)</f>
        <v>0</v>
      </c>
      <c r="L126" s="4">
        <v>907</v>
      </c>
      <c r="M126" s="4">
        <f>(D126*(L126^2))/450437</f>
        <v>186.28620206599368</v>
      </c>
      <c r="N126" s="24">
        <f>(((M126/100)/2)*0.1)</f>
        <v>9.3143101032996833E-2</v>
      </c>
      <c r="O126" s="26">
        <v>9</v>
      </c>
      <c r="P126" s="26">
        <v>8</v>
      </c>
      <c r="Q126" s="27">
        <f>((O126/15)*0.4)+(((P126*0.1)*0.25)/15)*0.4</f>
        <v>0.24533333333333332</v>
      </c>
      <c r="R126" s="4">
        <f>M126*O126</f>
        <v>1676.575818593943</v>
      </c>
    </row>
    <row r="127" spans="1:18" x14ac:dyDescent="0.25">
      <c r="A127" t="s">
        <v>18</v>
      </c>
      <c r="B127" s="25" t="s">
        <v>164</v>
      </c>
      <c r="C127" s="2">
        <f>(IF(AND(G127&gt;=13.5,G127&lt;24,I127&gt;=(J127*1.2),E127/D127&gt;=0.85),
(N127
+H127
+K127
+Q127
+F127)*100,
(0.75*(N127
+H127
+K127
+Q127
+F127)*100)))</f>
        <v>65.41691744982738</v>
      </c>
      <c r="D127" s="4">
        <v>95</v>
      </c>
      <c r="E127" s="4">
        <v>95</v>
      </c>
      <c r="F127" s="24">
        <f>IF(E127/D127&gt;=(D127*0.85),(E127/D127)*0.15,((E127/D127)/0.85)*0.15)</f>
        <v>0.17647058823529413</v>
      </c>
      <c r="G127" s="3">
        <v>21.9</v>
      </c>
      <c r="H127" s="24">
        <f>IF(G127&lt;12,
    0,
    IF(G127&lt;=19,
        ((G127 - 14) / (6 ^ 1.5) * 0.15 + 0.85) * 0.4,
        IF(G127&lt;=24,
            (((19 - 14) / (6 ^ 1.5) * 0.15 + 0.85) * 0.4) +
            ((G127 - 19) / (6 ^ 1.5) * 0.15 * 0.1) * 0.4,
            IF(G127&lt;=24,
                (
                    (
                        ((19 - 14) / (6 ^ 1.5) * 0.15 + 0.85) +
                        (5 / (6 ^ 1.5) * 0.15 * 0.1)
                    ) * 0.4
                ) * (1 - ((G127 - 24) / 5)),
                0
            )
        )
    )
)</f>
        <v>0.36159633456553836</v>
      </c>
      <c r="I127" s="22">
        <v>0.36899999999999999</v>
      </c>
      <c r="J127" s="22">
        <v>0.35499999999999998</v>
      </c>
      <c r="K127" s="24">
        <f>IF(I127&gt;=(J127*1.2),(((((I127/0.5325)^2)*0.25)+(((I127/J127)^2)*0.75))*(0.25))*(0.15),0)</f>
        <v>0</v>
      </c>
      <c r="L127" s="4">
        <v>917.78</v>
      </c>
      <c r="M127" s="4">
        <f>(D127*(L127^2))/450437</f>
        <v>177.65061972706505</v>
      </c>
      <c r="N127" s="24">
        <f>(((M127/100)/2)*0.1)</f>
        <v>8.8825309863532528E-2</v>
      </c>
      <c r="O127" s="26">
        <v>9</v>
      </c>
      <c r="P127" s="26">
        <v>8</v>
      </c>
      <c r="Q127" s="27">
        <f>((O127/15)*0.4)+(((P127*0.1)*0.25)/15)*0.4</f>
        <v>0.24533333333333332</v>
      </c>
      <c r="R127" s="4">
        <f>M127*O127</f>
        <v>1598.8555775435855</v>
      </c>
    </row>
    <row r="128" spans="1:18" x14ac:dyDescent="0.25">
      <c r="A128" t="s">
        <v>4</v>
      </c>
      <c r="B128" s="25" t="s">
        <v>164</v>
      </c>
      <c r="C128" s="1">
        <f>(IF(AND(G128&gt;=13.5,G128&lt;24,I128&gt;=(J128*1.2),E128/D128&gt;=0.85),
(N128
+H128
+K128
+Q128
+F128)*100,
(0.75*(N128
+H128
+K128
+Q128
+F128)*100)))</f>
        <v>65.344466380802643</v>
      </c>
      <c r="D128" s="4">
        <v>99</v>
      </c>
      <c r="E128" s="4">
        <v>99</v>
      </c>
      <c r="F128" s="24">
        <f>IF(E128/D128&gt;=(D128*0.85),(E128/D128)*0.15,((E128/D128)/0.85)*0.15)</f>
        <v>0.17647058823529413</v>
      </c>
      <c r="G128" s="3">
        <v>22.48</v>
      </c>
      <c r="H128" s="24">
        <f>IF(G128&lt;12,
    0,
    IF(G128&lt;=19,
        ((G128 - 14) / (6 ^ 1.5) * 0.15 + 0.85) * 0.4,
        IF(G128&lt;=24,
            (((19 - 14) / (6 ^ 1.5) * 0.15 + 0.85) * 0.4) +
            ((G128 - 19) / (6 ^ 1.5) * 0.15 * 0.1) * 0.4,
            IF(G128&lt;=24,
                (
                    (
                        ((19 - 14) / (6 ^ 1.5) * 0.15 + 0.85) +
                        (5 / (6 ^ 1.5) * 0.15 * 0.1)
                    ) * 0.4
                ) * (1 - ((G128 - 24) / 5)),
                0
            )
        )
    )
)</f>
        <v>0.36183311857400741</v>
      </c>
      <c r="I128" s="22">
        <v>0.35399999999999998</v>
      </c>
      <c r="J128" s="22">
        <v>0.35499999999999998</v>
      </c>
      <c r="K128" s="24">
        <f>IF(I128&gt;=(J128*1.2),(((((I128/0.5325)^2)*0.25)+(((I128/J128)^2)*0.75))*(0.25))*(0.15),0)</f>
        <v>0</v>
      </c>
      <c r="L128" s="4">
        <v>892.94</v>
      </c>
      <c r="M128" s="4">
        <f>(D128*(L128^2))/450437</f>
        <v>175.24502320280087</v>
      </c>
      <c r="N128" s="24">
        <f>(((M128/100)/2)*0.1)</f>
        <v>8.7622511601400443E-2</v>
      </c>
      <c r="O128" s="26">
        <v>9</v>
      </c>
      <c r="P128" s="26">
        <v>8</v>
      </c>
      <c r="Q128" s="27">
        <f>((O128/15)*0.4)+(((P128*0.1)*0.25)/15)*0.4</f>
        <v>0.24533333333333332</v>
      </c>
      <c r="R128" s="26">
        <f>M128*O128</f>
        <v>1577.2052088252078</v>
      </c>
    </row>
    <row r="129" spans="1:18" x14ac:dyDescent="0.25">
      <c r="A129" t="s">
        <v>10</v>
      </c>
      <c r="B129" s="25" t="s">
        <v>164</v>
      </c>
      <c r="C129" s="1">
        <f>(IF(AND(G129&gt;=13.5,G129&lt;24,I129&gt;=(J129*1.2),E129/D129&gt;=0.85),
(N129
+H129
+K129
+Q129
+F129)*100,
(0.75*(N129
+H129
+K129
+Q129
+F129)*100)))</f>
        <v>64.943126962674711</v>
      </c>
      <c r="D129" s="4">
        <v>95</v>
      </c>
      <c r="E129" s="4">
        <v>95</v>
      </c>
      <c r="F129" s="24">
        <f>IF(E129/D129&gt;=(D129*0.85),(E129/D129)*0.15,((E129/D129)/0.85)*0.15)</f>
        <v>0.17647058823529413</v>
      </c>
      <c r="G129" s="3">
        <v>23.06</v>
      </c>
      <c r="H129" s="24">
        <f>IF(G129&lt;12,
    0,
    IF(G129&lt;=19,
        ((G129 - 14) / (6 ^ 1.5) * 0.15 + 0.85) * 0.4,
        IF(G129&lt;=24,
            (((19 - 14) / (6 ^ 1.5) * 0.15 + 0.85) * 0.4) +
            ((G129 - 19) / (6 ^ 1.5) * 0.15 * 0.1) * 0.4,
            IF(G129&lt;=24,
                (
                    (
                        ((19 - 14) / (6 ^ 1.5) * 0.15 + 0.85) +
                        (5 / (6 ^ 1.5) * 0.15 * 0.1)
                    ) * 0.4
                ) * (1 - ((G129 - 24) / 5)),
                0
            )
        )
    )
)</f>
        <v>0.36206990258247645</v>
      </c>
      <c r="I129" s="22">
        <v>0.35</v>
      </c>
      <c r="J129" s="22">
        <v>0.35499999999999998</v>
      </c>
      <c r="K129" s="24">
        <f>IF(I129&gt;=(J129*1.2),(((((I129/0.5325)^2)*0.25)+(((I129/J129)^2)*0.75))*(0.25))*(0.15),0)</f>
        <v>0</v>
      </c>
      <c r="L129" s="4">
        <v>882</v>
      </c>
      <c r="M129" s="4">
        <f>(D129*(L129^2))/450437</f>
        <v>164.06907070245117</v>
      </c>
      <c r="N129" s="24">
        <f>(((M129/100)/2)*0.1)</f>
        <v>8.2034535351225596E-2</v>
      </c>
      <c r="O129" s="26">
        <v>9</v>
      </c>
      <c r="P129" s="26">
        <v>8</v>
      </c>
      <c r="Q129" s="27">
        <f>((O129/15)*0.4)+(((P129*0.1)*0.25)/15)*0.4</f>
        <v>0.24533333333333332</v>
      </c>
      <c r="R129" s="26">
        <f>M129*O129</f>
        <v>1476.6216363220606</v>
      </c>
    </row>
    <row r="130" spans="1:18" x14ac:dyDescent="0.25">
      <c r="A130" t="s">
        <v>1</v>
      </c>
      <c r="B130" s="25" t="s">
        <v>164</v>
      </c>
      <c r="C130" s="1">
        <f>(IF(AND(G130&gt;=13.5,G130&lt;24,I130&gt;=(J130*1.2),E130/D130&gt;=0.85),
(N130
+H130
+K130
+Q130
+F130)*100,
(0.75*(N130
+H130
+K130
+Q130
+F130)*100)))</f>
        <v>64.308908119880954</v>
      </c>
      <c r="D130" s="4">
        <v>70</v>
      </c>
      <c r="E130" s="4">
        <v>70</v>
      </c>
      <c r="F130" s="24">
        <f>IF(E130/D130&gt;=(D130*0.85),(E130/D130)*0.15,((E130/D130)/0.85)*0.15)</f>
        <v>0.17647058823529413</v>
      </c>
      <c r="G130" s="3">
        <v>14.94</v>
      </c>
      <c r="H130" s="24">
        <f>IF(G130&lt;12,
    0,
    IF(G130&lt;=19,
        ((G130 - 14) / (6 ^ 1.5) * 0.15 + 0.85) * 0.4,
        IF(G130&lt;=24,
            (((19 - 14) / (6 ^ 1.5) * 0.15 + 0.85) * 0.4) +
            ((G130 - 19) / (6 ^ 1.5) * 0.15 * 0.1) * 0.4,
            IF(G130&lt;=24,
                (
                    (
                        ((19 - 14) / (6 ^ 1.5) * 0.15 + 0.85) +
                        (5 / (6 ^ 1.5) * 0.15 * 0.1)
                    ) * 0.4
                ) * (1 - ((G130 - 24) / 5)),
                0
            )
        )
    )
)</f>
        <v>0.34383753393036032</v>
      </c>
      <c r="I130" s="22">
        <v>0.35</v>
      </c>
      <c r="J130" s="22">
        <v>0.35499999999999998</v>
      </c>
      <c r="K130" s="24">
        <f>IF(I130&gt;=(J130*1.2),(((((I130/0.5325)^2)*0.25)+(((I130/J130)^2)*0.75))*(0.25))*(0.15),0)</f>
        <v>0</v>
      </c>
      <c r="L130" s="4">
        <v>1087</v>
      </c>
      <c r="M130" s="4">
        <f>(D130*(L130^2))/450437</f>
        <v>183.62130553218319</v>
      </c>
      <c r="N130" s="24">
        <f>(((M130/100)/2)*0.1)</f>
        <v>9.1810652766091599E-2</v>
      </c>
      <c r="O130" s="26">
        <v>9</v>
      </c>
      <c r="P130" s="26">
        <v>8</v>
      </c>
      <c r="Q130" s="27">
        <f>((O130/15)*0.4)+(((P130*0.1)*0.25)/15)*0.4</f>
        <v>0.24533333333333332</v>
      </c>
      <c r="R130" s="26">
        <f>M130*O130</f>
        <v>1652.5917497896487</v>
      </c>
    </row>
    <row r="131" spans="1:18" x14ac:dyDescent="0.25">
      <c r="A131" t="s">
        <v>12</v>
      </c>
      <c r="B131" s="25" t="s">
        <v>164</v>
      </c>
      <c r="C131" s="1">
        <f>(IF(AND(G131&gt;=13.5,G131&lt;24,I131&gt;=(J131*1.2),E131/D131&gt;=0.85),
(N131
+H131
+K131
+Q131
+F131)*100,
(0.75*(N131
+H131
+K131
+Q131
+F131)*100)))</f>
        <v>63.979745924777596</v>
      </c>
      <c r="D131" s="4">
        <v>102</v>
      </c>
      <c r="E131" s="4">
        <v>102</v>
      </c>
      <c r="F131" s="24">
        <f>IF(E131/D131&gt;=(D131*0.85),(E131/D131)*0.15,((E131/D131)/0.85)*0.15)</f>
        <v>0.17647058823529413</v>
      </c>
      <c r="G131" s="3">
        <v>15.88</v>
      </c>
      <c r="H131" s="24">
        <f>IF(G131&lt;12,
    0,
    IF(G131&lt;=19,
        ((G131 - 14) / (6 ^ 1.5) * 0.15 + 0.85) * 0.4,
        IF(G131&lt;=24,
            (((19 - 14) / (6 ^ 1.5) * 0.15 + 0.85) * 0.4) +
            ((G131 - 19) / (6 ^ 1.5) * 0.15 * 0.1) * 0.4,
            IF(G131&lt;=24,
                (
                    (
                        ((19 - 14) / (6 ^ 1.5) * 0.15 + 0.85) +
                        (5 / (6 ^ 1.5) * 0.15 * 0.1)
                    ) * 0.4
                ) * (1 - ((G131 - 24) / 5)),
                0
            )
        )
    )
)</f>
        <v>0.34767506786072061</v>
      </c>
      <c r="I131" s="22">
        <v>0.39600000000000002</v>
      </c>
      <c r="J131" s="22">
        <v>0.35499999999999998</v>
      </c>
      <c r="K131" s="24">
        <f>IF(I131&gt;=(J131*1.2),(((((I131/0.5325)^2)*0.25)+(((I131/J131)^2)*0.75))*(0.25))*(0.15),0)</f>
        <v>0</v>
      </c>
      <c r="L131" s="4">
        <v>859.2</v>
      </c>
      <c r="M131" s="4">
        <f>(D131*(L131^2))/450437</f>
        <v>167.16857913537302</v>
      </c>
      <c r="N131" s="24">
        <f>(((M131/100)/2)*0.1)</f>
        <v>8.3584289567686515E-2</v>
      </c>
      <c r="O131" s="26">
        <v>9</v>
      </c>
      <c r="P131" s="26">
        <v>8</v>
      </c>
      <c r="Q131" s="27">
        <f>((O131/15)*0.4)+(((P131*0.1)*0.25)/15)*0.4</f>
        <v>0.24533333333333332</v>
      </c>
      <c r="R131" s="26">
        <f>M131*O131</f>
        <v>1504.5172122183571</v>
      </c>
    </row>
    <row r="132" spans="1:18" x14ac:dyDescent="0.25">
      <c r="A132" t="s">
        <v>51</v>
      </c>
      <c r="B132" t="s">
        <v>166</v>
      </c>
      <c r="C132" s="2">
        <f>(IF(AND(G132&gt;=13.5,G132&lt;24,I132&gt;=(J132*1.2),E132/D132&gt;=0.85),
(N132
+H132
+K132
+Q132
+F132)*100,
(0.75*(N132
+H132
+K132
+Q132
+F132)*100)))</f>
        <v>63.384037893136188</v>
      </c>
      <c r="D132" s="4">
        <v>124</v>
      </c>
      <c r="E132" s="4">
        <v>124</v>
      </c>
      <c r="F132" s="24">
        <f>IF(E132/D132&gt;=(D132*0.85),(E132/D132)*0.15,((E132/D132)/0.85)*0.15)</f>
        <v>0.17647058823529413</v>
      </c>
      <c r="G132" s="3">
        <v>26.5</v>
      </c>
      <c r="H132" s="24">
        <f>IF(G132&lt;12,
    0,
    IF(G132&lt;=19,
        ((G132 - 14) / (6 ^ 1.5) * 0.15 + 0.85) * 0.4,
        IF(G132&lt;=24,
            (((19 - 14) / (6 ^ 1.5) * 0.15 + 0.85) * 0.4) +
            ((G132 - 19) / (6 ^ 1.5) * 0.15 * 0.1) * 0.4,
            IF(G132&lt;=24,
                (
                    (
                        ((19 - 14) / (6 ^ 1.5) * 0.15 + 0.85) +
                        (5 / (6 ^ 1.5) * 0.15 * 0.1)
                    ) * 0.4
                ) * (1 - ((G132 - 24) / 5)),
                0
            )
        )
    )
)</f>
        <v>0</v>
      </c>
      <c r="I132" s="22">
        <v>0.35</v>
      </c>
      <c r="J132" s="22">
        <v>0.35499999999999998</v>
      </c>
      <c r="K132" s="24">
        <f>IF(I132&gt;=(J132*1.2),(((((I132/0.5325)^2)*0.25)+(((I132/J132)^2)*0.75))*(0.25))*(0.15),0)</f>
        <v>0</v>
      </c>
      <c r="L132" s="4">
        <v>1135</v>
      </c>
      <c r="M132" s="4">
        <f>(D132*(L132^2))/450437</f>
        <v>354.63316734637698</v>
      </c>
      <c r="N132" s="24">
        <f>(((M132/100)/2)*0.1)</f>
        <v>0.1773165836731885</v>
      </c>
      <c r="O132" s="4">
        <v>18</v>
      </c>
      <c r="P132" s="4">
        <v>17</v>
      </c>
      <c r="Q132" s="24">
        <f>((O132/15)*0.4)+(((P132*0.1)*0.25)/15)*0.4</f>
        <v>0.49133333333333329</v>
      </c>
      <c r="R132" s="4">
        <f>M132*O132</f>
        <v>6383.3970122347855</v>
      </c>
    </row>
    <row r="133" spans="1:18" x14ac:dyDescent="0.25">
      <c r="A133" t="s">
        <v>7</v>
      </c>
      <c r="B133" s="25" t="s">
        <v>164</v>
      </c>
      <c r="C133" s="1">
        <f>(IF(AND(G133&gt;=13.5,G133&lt;24,I133&gt;=(J133*1.2),E133/D133&gt;=0.85),
(N133
+H133
+K133
+Q133
+F133)*100,
(0.75*(N133
+H133
+K133
+Q133
+F133)*100)))</f>
        <v>63.382884711220022</v>
      </c>
      <c r="D133" s="4">
        <v>90</v>
      </c>
      <c r="E133" s="4">
        <v>90</v>
      </c>
      <c r="F133" s="24">
        <f>IF(E133/D133&gt;=(D133*0.85),(E133/D133)*0.15,((E133/D133)/0.85)*0.15)</f>
        <v>0.17647058823529413</v>
      </c>
      <c r="G133" s="3">
        <v>14.14</v>
      </c>
      <c r="H133" s="24">
        <f>IF(G133&lt;12,
    0,
    IF(G133&lt;=19,
        ((G133 - 14) / (6 ^ 1.5) * 0.15 + 0.85) * 0.4,
        IF(G133&lt;=24,
            (((19 - 14) / (6 ^ 1.5) * 0.15 + 0.85) * 0.4) +
            ((G133 - 19) / (6 ^ 1.5) * 0.15 * 0.1) * 0.4,
            IF(G133&lt;=24,
                (
                    (
                        ((19 - 14) / (6 ^ 1.5) * 0.15 + 0.85) +
                        (5 / (6 ^ 1.5) * 0.15 * 0.1)
                    ) * 0.4
                ) * (1 - ((G133 - 24) / 5)),
                0
            )
        )
    )
)</f>
        <v>0.34057154760664943</v>
      </c>
      <c r="I133" s="22">
        <v>0.39200000000000002</v>
      </c>
      <c r="J133" s="22">
        <v>0.35499999999999998</v>
      </c>
      <c r="K133" s="24">
        <f>IF(I133&gt;=(J133*1.2),(((((I133/0.5325)^2)*0.25)+(((I133/J133)^2)*0.75))*(0.25))*(0.15),0)</f>
        <v>0</v>
      </c>
      <c r="L133" s="4">
        <v>910</v>
      </c>
      <c r="M133" s="4">
        <f>(D133*(L133^2))/450437</f>
        <v>165.45932061531357</v>
      </c>
      <c r="N133" s="24">
        <f>(((M133/100)/2)*0.1)</f>
        <v>8.2729660307656785E-2</v>
      </c>
      <c r="O133" s="26">
        <v>9</v>
      </c>
      <c r="P133" s="26">
        <v>8</v>
      </c>
      <c r="Q133" s="27">
        <f>((O133/15)*0.4)+(((P133*0.1)*0.25)/15)*0.4</f>
        <v>0.24533333333333332</v>
      </c>
      <c r="R133" s="26">
        <f>M133*O133</f>
        <v>1489.1338855378222</v>
      </c>
    </row>
    <row r="134" spans="1:18" x14ac:dyDescent="0.25">
      <c r="A134" t="s">
        <v>13</v>
      </c>
      <c r="B134" s="25" t="s">
        <v>164</v>
      </c>
      <c r="C134" s="1">
        <f>(IF(AND(G134&gt;=13.5,G134&lt;24,I134&gt;=(J134*1.2),E134/D134&gt;=0.85),
(N134
+H134
+K134
+Q134
+F134)*100,
(0.75*(N134
+H134
+K134
+Q134
+F134)*100)))</f>
        <v>63.158333663502162</v>
      </c>
      <c r="D134" s="4">
        <v>88</v>
      </c>
      <c r="E134" s="4">
        <v>88</v>
      </c>
      <c r="F134" s="24">
        <f>IF(E134/D134&gt;=(D134*0.85),(E134/D134)*0.15,((E134/D134)/0.85)*0.15)</f>
        <v>0.17647058823529413</v>
      </c>
      <c r="G134" s="3">
        <v>16.78</v>
      </c>
      <c r="H134" s="24">
        <f>IF(G134&lt;12,
    0,
    IF(G134&lt;=19,
        ((G134 - 14) / (6 ^ 1.5) * 0.15 + 0.85) * 0.4,
        IF(G134&lt;=24,
            (((19 - 14) / (6 ^ 1.5) * 0.15 + 0.85) * 0.4) +
            ((G134 - 19) / (6 ^ 1.5) * 0.15 * 0.1) * 0.4,
            IF(G134&lt;=24,
                (
                    (
                        ((19 - 14) / (6 ^ 1.5) * 0.15 + 0.85) +
                        (5 / (6 ^ 1.5) * 0.15 * 0.1)
                    ) * 0.4
                ) * (1 - ((G134 - 24) / 5)),
                0
            )
        )
    )
)</f>
        <v>0.35134930247489543</v>
      </c>
      <c r="I134" s="22">
        <v>0.35</v>
      </c>
      <c r="J134" s="22">
        <v>0.35499999999999998</v>
      </c>
      <c r="K134" s="24">
        <f>IF(I134&gt;=(J134*1.2),(((((I134/0.5325)^2)*0.25)+(((I134/J134)^2)*0.75))*(0.25))*(0.15),0)</f>
        <v>0</v>
      </c>
      <c r="L134" s="4">
        <v>840.2</v>
      </c>
      <c r="M134" s="4">
        <f>(D134*(L134^2))/450437</f>
        <v>137.91578293967859</v>
      </c>
      <c r="N134" s="24">
        <f>(((M134/100)/2)*0.1)</f>
        <v>6.89578914698393E-2</v>
      </c>
      <c r="O134" s="26">
        <v>9</v>
      </c>
      <c r="P134" s="26">
        <v>8</v>
      </c>
      <c r="Q134" s="27">
        <f>((O134/15)*0.4)+(((P134*0.1)*0.25)/15)*0.4</f>
        <v>0.24533333333333332</v>
      </c>
      <c r="R134" s="26">
        <f>M134*O134</f>
        <v>1241.2420464571073</v>
      </c>
    </row>
    <row r="135" spans="1:18" x14ac:dyDescent="0.25">
      <c r="A135" t="s">
        <v>29</v>
      </c>
      <c r="B135" t="s">
        <v>166</v>
      </c>
      <c r="C135" s="2">
        <f>(IF(AND(G135&gt;=13.5,G135&lt;24,I135&gt;=(J135*1.2),E135/D135&gt;=0.85),
(N135
+H135
+K135
+Q135
+F135)*100,
(0.75*(N135
+H135
+K135
+Q135
+F135)*100)))</f>
        <v>61.226690444800184</v>
      </c>
      <c r="D135" s="4">
        <v>80</v>
      </c>
      <c r="E135" s="4">
        <v>26.22</v>
      </c>
      <c r="F135" s="24">
        <f>IF(E135/D135&gt;=(D135*0.85),(E135/D135)*0.15,((E135/D135)/0.85)*0.15)</f>
        <v>5.7838235294117642E-2</v>
      </c>
      <c r="G135" s="3">
        <v>8.3000000000000007</v>
      </c>
      <c r="H135" s="24">
        <f>IF(G135&lt;12,
    0,
    IF(G135&lt;=19,
        ((G135 - 14) / (6 ^ 1.5) * 0.15 + 0.85) * 0.4,
        IF(G135&lt;=24,
            (((19 - 14) / (6 ^ 1.5) * 0.15 + 0.85) * 0.4) +
            ((G135 - 19) / (6 ^ 1.5) * 0.15 * 0.1) * 0.4,
            IF(G135&lt;=24,
                (
                    (
                        ((19 - 14) / (6 ^ 1.5) * 0.15 + 0.85) +
                        (5 / (6 ^ 1.5) * 0.15 * 0.1)
                    ) * 0.4
                ) * (1 - ((G135 - 24) / 5)),
                0
            )
        )
    )
)</f>
        <v>0</v>
      </c>
      <c r="I135" s="22">
        <v>0.67</v>
      </c>
      <c r="J135" s="22">
        <v>0.35499999999999998</v>
      </c>
      <c r="K135" s="24">
        <f>IF(I135&gt;=(J135*1.2),(((((I135/0.5325)^2)*0.25)+(((I135/J135)^2)*0.75))*(0.25))*(0.15),0)</f>
        <v>0.11502264762282619</v>
      </c>
      <c r="L135" s="4">
        <v>1309</v>
      </c>
      <c r="M135" s="4">
        <f>(D135*(L135^2))/450437</f>
        <v>304.32331269411702</v>
      </c>
      <c r="N135" s="24">
        <f>(((M135/100)/2)*0.1)</f>
        <v>0.15216165634705853</v>
      </c>
      <c r="O135" s="4">
        <v>18</v>
      </c>
      <c r="P135" s="4">
        <v>17</v>
      </c>
      <c r="Q135" s="24">
        <f>((O135/15)*0.4)+(((P135*0.1)*0.25)/15)*0.4</f>
        <v>0.49133333333333329</v>
      </c>
      <c r="R135" s="4">
        <f>M135*O135</f>
        <v>5477.8196284941059</v>
      </c>
    </row>
    <row r="136" spans="1:18" x14ac:dyDescent="0.25">
      <c r="A136" t="s">
        <v>126</v>
      </c>
      <c r="B136" t="s">
        <v>169</v>
      </c>
      <c r="C136" s="2">
        <f>(IF(AND(G136&gt;=13.5,G136&lt;24,I136&gt;=(J136*1.2),E136/D136&gt;=0.85),
(N136
+H136
+K136
+Q136
+F136)*100,
(0.75*(N136
+H136
+K136
+Q136
+F136)*100)))</f>
        <v>61.158324670437338</v>
      </c>
      <c r="D136" s="4">
        <v>165</v>
      </c>
      <c r="E136" s="4">
        <v>165</v>
      </c>
      <c r="F136" s="24">
        <f>IF(E136/D136&gt;=(D136*0.85),(E136/D136)*0.15,((E136/D136)/0.85)*0.15)</f>
        <v>0.17647058823529413</v>
      </c>
      <c r="G136" s="3">
        <v>9.1999999999999993</v>
      </c>
      <c r="H136" s="24">
        <f>IF(G136&lt;12,
    0,
    IF(G136&lt;=19,
        ((G136 - 14) / (6 ^ 1.5) * 0.15 + 0.85) * 0.4,
        IF(G136&lt;=24,
            (((19 - 14) / (6 ^ 1.5) * 0.15 + 0.85) * 0.4) +
            ((G136 - 19) / (6 ^ 1.5) * 0.15 * 0.1) * 0.4,
            IF(G136&lt;=24,
                (
                    (
                        ((19 - 14) / (6 ^ 1.5) * 0.15 + 0.85) +
                        (5 / (6 ^ 1.5) * 0.15 * 0.1)
                    ) * 0.4
                ) * (1 - ((G136 - 24) / 5)),
                0
            )
        )
    )
)</f>
        <v>0</v>
      </c>
      <c r="I136" s="22">
        <v>0.73</v>
      </c>
      <c r="J136" s="22">
        <v>0.45200000000000001</v>
      </c>
      <c r="K136" s="24">
        <f>IF(I136&gt;=(J136*1.2),(((((I136/0.5325)^2)*0.25)+(((I136/J136)^2)*0.75))*(0.25))*(0.15),0)</f>
        <v>9.0979206507079205E-2</v>
      </c>
      <c r="L136" s="4">
        <v>952</v>
      </c>
      <c r="M136" s="4">
        <f>(D136*(L136^2))/450437</f>
        <v>331.98906839358222</v>
      </c>
      <c r="N136" s="24">
        <f>(((M136/100)/2)*0.1)</f>
        <v>0.16599453419679111</v>
      </c>
      <c r="O136" s="4">
        <v>14</v>
      </c>
      <c r="P136" s="4">
        <v>13</v>
      </c>
      <c r="Q136" s="24">
        <f>((O136/15)*0.4)+(((P136*0.1)*0.25)/15)*0.4</f>
        <v>0.38200000000000001</v>
      </c>
      <c r="R136" s="4">
        <f>M136*O136</f>
        <v>4647.8469575101508</v>
      </c>
    </row>
    <row r="137" spans="1:18" x14ac:dyDescent="0.25">
      <c r="A137" t="s">
        <v>94</v>
      </c>
      <c r="B137" t="s">
        <v>167</v>
      </c>
      <c r="C137" s="2">
        <f>(IF(AND(G137&gt;=13.5,G137&lt;24,I137&gt;=(J137*1.2),E137/D137&gt;=0.85),
(N137
+H137
+K137
+Q137
+F137)*100,
(0.75*(N137
+H137
+K137
+Q137
+F137)*100)))</f>
        <v>61.120412486031547</v>
      </c>
      <c r="D137" s="4">
        <v>155</v>
      </c>
      <c r="E137" s="4">
        <v>155</v>
      </c>
      <c r="F137" s="24">
        <f>IF(E137/D137&gt;=(D137*0.85),(E137/D137)*0.15,((E137/D137)/0.85)*0.15)</f>
        <v>0.17647058823529413</v>
      </c>
      <c r="G137" s="3">
        <v>28.8</v>
      </c>
      <c r="H137" s="24">
        <f>IF(G137&lt;12,
    0,
    IF(G137&lt;=19,
        ((G137 - 14) / (6 ^ 1.5) * 0.15 + 0.85) * 0.4,
        IF(G137&lt;=24,
            (((19 - 14) / (6 ^ 1.5) * 0.15 + 0.85) * 0.4) +
            ((G137 - 19) / (6 ^ 1.5) * 0.15 * 0.1) * 0.4,
            IF(G137&lt;=24,
                (
                    (
                        ((19 - 14) / (6 ^ 1.5) * 0.15 + 0.85) +
                        (5 / (6 ^ 1.5) * 0.15 * 0.1)
                    ) * 0.4
                ) * (1 - ((G137 - 24) / 5)),
                0
            )
        )
    )
)</f>
        <v>0</v>
      </c>
      <c r="I137" s="22">
        <v>0.43</v>
      </c>
      <c r="J137" s="22">
        <v>0.4</v>
      </c>
      <c r="K137" s="24">
        <f>IF(I137&gt;=(J137*1.2),(((((I137/0.5325)^2)*0.25)+(((I137/J137)^2)*0.75))*(0.25))*(0.15),0)</f>
        <v>0</v>
      </c>
      <c r="L137" s="4">
        <v>1083</v>
      </c>
      <c r="M137" s="4">
        <f>(D137*(L137^2))/450437</f>
        <v>403.60315649025279</v>
      </c>
      <c r="N137" s="24">
        <f>(((M137/100)/2)*0.1)</f>
        <v>0.2018015782451264</v>
      </c>
      <c r="O137" s="4">
        <v>16</v>
      </c>
      <c r="P137" s="4">
        <v>15</v>
      </c>
      <c r="Q137" s="24">
        <f>((O137/15)*0.4)+(((P137*0.1)*0.25)/15)*0.4</f>
        <v>0.4366666666666667</v>
      </c>
      <c r="R137" s="4">
        <f>M137*O137</f>
        <v>6457.6505038440446</v>
      </c>
    </row>
    <row r="138" spans="1:18" x14ac:dyDescent="0.25">
      <c r="A138" t="s">
        <v>98</v>
      </c>
      <c r="B138" t="s">
        <v>167</v>
      </c>
      <c r="C138" s="2">
        <f>(IF(AND(G138&gt;=13.5,G138&lt;24,I138&gt;=(J138*1.2),E138/D138&gt;=0.85),
(N138
+H138
+K138
+Q138
+F138)*100,
(0.75*(N138
+H138
+K138
+Q138
+F138)*100)))</f>
        <v>60.897635493910563</v>
      </c>
      <c r="D138" s="4">
        <v>155</v>
      </c>
      <c r="E138" s="4">
        <v>155</v>
      </c>
      <c r="F138" s="24">
        <f>IF(E138/D138&gt;=(D138*0.85),(E138/D138)*0.15,((E138/D138)/0.85)*0.15)</f>
        <v>0.17647058823529413</v>
      </c>
      <c r="G138" s="3">
        <v>32</v>
      </c>
      <c r="H138" s="24">
        <f>IF(G138&lt;12,
    0,
    IF(G138&lt;=19,
        ((G138 - 14) / (6 ^ 1.5) * 0.15 + 0.85) * 0.4,
        IF(G138&lt;=24,
            (((19 - 14) / (6 ^ 1.5) * 0.15 + 0.85) * 0.4) +
            ((G138 - 19) / (6 ^ 1.5) * 0.15 * 0.1) * 0.4,
            IF(G138&lt;=24,
                (
                    (
                        ((19 - 14) / (6 ^ 1.5) * 0.15 + 0.85) +
                        (5 / (6 ^ 1.5) * 0.15 * 0.1)
                    ) * 0.4
                ) * (1 - ((G138 - 24) / 5)),
                0
            )
        )
    )
)</f>
        <v>0</v>
      </c>
      <c r="I138" s="22">
        <v>0.4</v>
      </c>
      <c r="J138" s="22">
        <v>0.4</v>
      </c>
      <c r="K138" s="24">
        <f>IF(I138&gt;=(J138*1.2),(((((I138/0.5325)^2)*0.25)+(((I138/J138)^2)*0.75))*(0.25))*(0.15),0)</f>
        <v>0</v>
      </c>
      <c r="L138" s="4">
        <v>1075</v>
      </c>
      <c r="M138" s="4">
        <f>(D138*(L138^2))/450437</f>
        <v>397.66243670035988</v>
      </c>
      <c r="N138" s="24">
        <f>(((M138/100)/2)*0.1)</f>
        <v>0.19883121835017994</v>
      </c>
      <c r="O138" s="4">
        <v>16</v>
      </c>
      <c r="P138" s="4">
        <v>15</v>
      </c>
      <c r="Q138" s="24">
        <f>((O138/15)*0.4)+(((P138*0.1)*0.25)/15)*0.4</f>
        <v>0.4366666666666667</v>
      </c>
      <c r="R138" s="4">
        <f>M138*O138</f>
        <v>6362.598987205758</v>
      </c>
    </row>
    <row r="139" spans="1:18" x14ac:dyDescent="0.25">
      <c r="A139" t="s">
        <v>156</v>
      </c>
      <c r="B139" t="s">
        <v>169</v>
      </c>
      <c r="C139" s="2">
        <f>(IF(AND(G139&gt;=13.5,G139&lt;24,I139&gt;=(J139*1.2),E139/D139&gt;=0.85),
(N139
+H139
+K139
+Q139
+F139)*100,
(0.75*(N139
+H139
+K139
+Q139
+F139)*100)))</f>
        <v>60.128599508018546</v>
      </c>
      <c r="D139" s="4">
        <v>230</v>
      </c>
      <c r="E139" s="4">
        <v>230</v>
      </c>
      <c r="F139" s="24">
        <f>IF(E139/D139&gt;=(D139*0.85),(E139/D139)*0.15,((E139/D139)/0.85)*0.15)</f>
        <v>0.17647058823529413</v>
      </c>
      <c r="G139" s="3">
        <v>25.7</v>
      </c>
      <c r="H139" s="24">
        <f>IF(G139&lt;12,
    0,
    IF(G139&lt;=19,
        ((G139 - 14) / (6 ^ 1.5) * 0.15 + 0.85) * 0.4,
        IF(G139&lt;=24,
            (((19 - 14) / (6 ^ 1.5) * 0.15 + 0.85) * 0.4) +
            ((G139 - 19) / (6 ^ 1.5) * 0.15 * 0.1) * 0.4,
            IF(G139&lt;=24,
                (
                    (
                        ((19 - 14) / (6 ^ 1.5) * 0.15 + 0.85) +
                        (5 / (6 ^ 1.5) * 0.15 * 0.1)
                    ) * 0.4
                ) * (1 - ((G139 - 24) / 5)),
                0
            )
        )
    )
)</f>
        <v>0</v>
      </c>
      <c r="I139" s="22">
        <v>0.56000000000000005</v>
      </c>
      <c r="J139" s="22">
        <v>0.45200000000000001</v>
      </c>
      <c r="K139" s="24">
        <f>IF(I139&gt;=(J139*1.2),(((((I139/0.5325)^2)*0.25)+(((I139/J139)^2)*0.75))*(0.25))*(0.15),0)</f>
        <v>5.3539274086357752E-2</v>
      </c>
      <c r="L139" s="4">
        <v>862</v>
      </c>
      <c r="M139" s="4">
        <f>(D139*(L139^2))/450437</f>
        <v>379.40959557052372</v>
      </c>
      <c r="N139" s="24">
        <f>(((M139/100)/2)*0.1)</f>
        <v>0.18970479778526186</v>
      </c>
      <c r="O139" s="4">
        <v>14</v>
      </c>
      <c r="P139" s="4">
        <v>13</v>
      </c>
      <c r="Q139" s="24">
        <f>((O139/15)*0.4)+(((P139*0.1)*0.25)/15)*0.4</f>
        <v>0.38200000000000001</v>
      </c>
      <c r="R139" s="4">
        <f>M139*O139</f>
        <v>5311.7343379873319</v>
      </c>
    </row>
    <row r="140" spans="1:18" x14ac:dyDescent="0.25">
      <c r="A140" t="s">
        <v>140</v>
      </c>
      <c r="B140" t="s">
        <v>169</v>
      </c>
      <c r="C140" s="2">
        <f>(IF(AND(G140&gt;=13.5,G140&lt;24,I140&gt;=(J140*1.2),E140/D140&gt;=0.85),
(N140
+H140
+K140
+Q140
+F140)*100,
(0.75*(N140
+H140
+K140
+Q140
+F140)*100)))</f>
        <v>59.092839096190119</v>
      </c>
      <c r="D140" s="4">
        <v>185</v>
      </c>
      <c r="E140" s="4">
        <v>185</v>
      </c>
      <c r="F140" s="24">
        <f>IF(E140/D140&gt;=(D140*0.85),(E140/D140)*0.15,((E140/D140)/0.85)*0.15)</f>
        <v>0.17647058823529413</v>
      </c>
      <c r="G140" s="3">
        <v>29.4</v>
      </c>
      <c r="H140" s="24">
        <f>IF(G140&lt;12,
    0,
    IF(G140&lt;=19,
        ((G140 - 14) / (6 ^ 1.5) * 0.15 + 0.85) * 0.4,
        IF(G140&lt;=24,
            (((19 - 14) / (6 ^ 1.5) * 0.15 + 0.85) * 0.4) +
            ((G140 - 19) / (6 ^ 1.5) * 0.15 * 0.1) * 0.4,
            IF(G140&lt;=24,
                (
                    (
                        ((19 - 14) / (6 ^ 1.5) * 0.15 + 0.85) +
                        (5 / (6 ^ 1.5) * 0.15 * 0.1)
                    ) * 0.4
                ) * (1 - ((G140 - 24) / 5)),
                0
            )
        )
    )
)</f>
        <v>0</v>
      </c>
      <c r="I140" s="22">
        <v>0.45</v>
      </c>
      <c r="J140" s="22">
        <v>0.45200000000000001</v>
      </c>
      <c r="K140" s="24">
        <f>IF(I140&gt;=(J140*1.2),(((((I140/0.5325)^2)*0.25)+(((I140/J140)^2)*0.75))*(0.25))*(0.15),0)</f>
        <v>0</v>
      </c>
      <c r="L140" s="4">
        <v>1057</v>
      </c>
      <c r="M140" s="4">
        <f>(D140*(L140^2))/450437</f>
        <v>458.8678660944816</v>
      </c>
      <c r="N140" s="24">
        <f>(((M140/100)/2)*0.1)</f>
        <v>0.2294339330472408</v>
      </c>
      <c r="O140" s="4">
        <v>14</v>
      </c>
      <c r="P140" s="4">
        <v>13</v>
      </c>
      <c r="Q140" s="24">
        <f>((O140/15)*0.4)+(((P140*0.1)*0.25)/15)*0.4</f>
        <v>0.38200000000000001</v>
      </c>
      <c r="R140" s="4">
        <f>M140*O140</f>
        <v>6424.1501253227425</v>
      </c>
    </row>
    <row r="141" spans="1:18" x14ac:dyDescent="0.25">
      <c r="A141" t="s">
        <v>96</v>
      </c>
      <c r="B141" t="s">
        <v>167</v>
      </c>
      <c r="C141" s="2">
        <f>(IF(AND(G141&gt;=13.5,G141&lt;24,I141&gt;=(J141*1.2),E141/D141&gt;=0.85),
(N141
+H141
+K141
+Q141
+F141)*100,
(0.75*(N141
+H141
+K141
+Q141
+F141)*100)))</f>
        <v>58.918349683686266</v>
      </c>
      <c r="D141" s="4">
        <v>180</v>
      </c>
      <c r="E141" s="4">
        <v>180</v>
      </c>
      <c r="F141" s="24">
        <f>IF(E141/D141&gt;=(D141*0.85),(E141/D141)*0.15,((E141/D141)/0.85)*0.15)</f>
        <v>0.17647058823529413</v>
      </c>
      <c r="G141" s="3">
        <v>28.4</v>
      </c>
      <c r="H141" s="24">
        <f>IF(G141&lt;12,
    0,
    IF(G141&lt;=19,
        ((G141 - 14) / (6 ^ 1.5) * 0.15 + 0.85) * 0.4,
        IF(G141&lt;=24,
            (((19 - 14) / (6 ^ 1.5) * 0.15 + 0.85) * 0.4) +
            ((G141 - 19) / (6 ^ 1.5) * 0.15 * 0.1) * 0.4,
            IF(G141&lt;=24,
                (
                    (
                        ((19 - 14) / (6 ^ 1.5) * 0.15 + 0.85) +
                        (5 / (6 ^ 1.5) * 0.15 * 0.1)
                    ) * 0.4
                ) * (1 - ((G141 - 24) / 5)),
                0
            )
        )
    )
)</f>
        <v>0</v>
      </c>
      <c r="I141" s="22">
        <v>0.4</v>
      </c>
      <c r="J141" s="22">
        <v>0.4</v>
      </c>
      <c r="K141" s="24">
        <f>IF(I141&gt;=(J141*1.2),(((((I141/0.5325)^2)*0.25)+(((I141/J141)^2)*0.75))*(0.25))*(0.15),0)</f>
        <v>0</v>
      </c>
      <c r="L141" s="4">
        <v>929</v>
      </c>
      <c r="M141" s="4">
        <f>(D141*(L141^2))/450437</f>
        <v>344.88148176104539</v>
      </c>
      <c r="N141" s="24">
        <f>(((M141/100)/2)*0.1)</f>
        <v>0.17244074088052272</v>
      </c>
      <c r="O141" s="4">
        <v>16</v>
      </c>
      <c r="P141" s="4">
        <v>15</v>
      </c>
      <c r="Q141" s="24">
        <f>((O141/15)*0.4)+(((P141*0.1)*0.25)/15)*0.4</f>
        <v>0.4366666666666667</v>
      </c>
      <c r="R141" s="4">
        <f>M141*O141</f>
        <v>5518.1037081767263</v>
      </c>
    </row>
    <row r="142" spans="1:18" x14ac:dyDescent="0.25">
      <c r="A142" t="s">
        <v>102</v>
      </c>
      <c r="B142" t="s">
        <v>167</v>
      </c>
      <c r="C142" s="2">
        <f>(IF(AND(G142&gt;=13.5,G142&lt;24,I142&gt;=(J142*1.2),E142/D142&gt;=0.85),
(N142
+H142
+K142
+Q142
+F142)*100,
(0.75*(N142
+H142
+K142
+Q142
+F142)*100)))</f>
        <v>58.724183240876279</v>
      </c>
      <c r="D142" s="4">
        <v>180</v>
      </c>
      <c r="E142" s="4">
        <v>180</v>
      </c>
      <c r="F142" s="24">
        <f>IF(E142/D142&gt;=(D142*0.85),(E142/D142)*0.15,((E142/D142)/0.85)*0.15)</f>
        <v>0.17647058823529413</v>
      </c>
      <c r="G142" s="3">
        <v>32</v>
      </c>
      <c r="H142" s="24">
        <f>IF(G142&lt;12,
    0,
    IF(G142&lt;=19,
        ((G142 - 14) / (6 ^ 1.5) * 0.15 + 0.85) * 0.4,
        IF(G142&lt;=24,
            (((19 - 14) / (6 ^ 1.5) * 0.15 + 0.85) * 0.4) +
            ((G142 - 19) / (6 ^ 1.5) * 0.15 * 0.1) * 0.4,
            IF(G142&lt;=24,
                (
                    (
                        ((19 - 14) / (6 ^ 1.5) * 0.15 + 0.85) +
                        (5 / (6 ^ 1.5) * 0.15 * 0.1)
                    ) * 0.4
                ) * (1 - ((G142 - 24) / 5)),
                0
            )
        )
    )
)</f>
        <v>0</v>
      </c>
      <c r="I142" s="22">
        <v>0.4</v>
      </c>
      <c r="J142" s="22">
        <v>0.4</v>
      </c>
      <c r="K142" s="24">
        <f>IF(I142&gt;=(J142*1.2),(((((I142/0.5325)^2)*0.25)+(((I142/J142)^2)*0.75))*(0.25))*(0.15),0)</f>
        <v>0</v>
      </c>
      <c r="L142" s="4">
        <v>922</v>
      </c>
      <c r="M142" s="4">
        <f>(D142*(L142^2))/450437</f>
        <v>339.70370995277921</v>
      </c>
      <c r="N142" s="24">
        <f>(((M142/100)/2)*0.1)</f>
        <v>0.1698518549763896</v>
      </c>
      <c r="O142" s="4">
        <v>16</v>
      </c>
      <c r="P142" s="4">
        <v>15</v>
      </c>
      <c r="Q142" s="24">
        <f>((O142/15)*0.4)+(((P142*0.1)*0.25)/15)*0.4</f>
        <v>0.4366666666666667</v>
      </c>
      <c r="R142" s="4">
        <f>M142*O142</f>
        <v>5435.2593592444673</v>
      </c>
    </row>
    <row r="143" spans="1:18" x14ac:dyDescent="0.25">
      <c r="A143" t="s">
        <v>87</v>
      </c>
      <c r="B143" t="s">
        <v>167</v>
      </c>
      <c r="C143" s="2">
        <f>(IF(AND(G143&gt;=13.5,G143&lt;24,I143&gt;=(J143*1.2),E143/D143&gt;=0.85),
(N143
+H143
+K143
+Q143
+F143)*100,
(0.75*(N143
+H143
+K143
+Q143
+F143)*100)))</f>
        <v>58.53148537191791</v>
      </c>
      <c r="D143" s="4">
        <v>180</v>
      </c>
      <c r="E143" s="4">
        <v>180</v>
      </c>
      <c r="F143" s="24">
        <f>IF(E143/D143&gt;=(D143*0.85),(E143/D143)*0.15,((E143/D143)/0.85)*0.15)</f>
        <v>0.17647058823529413</v>
      </c>
      <c r="G143" s="3">
        <v>27.6</v>
      </c>
      <c r="H143" s="24">
        <f>IF(G143&lt;12,
    0,
    IF(G143&lt;=19,
        ((G143 - 14) / (6 ^ 1.5) * 0.15 + 0.85) * 0.4,
        IF(G143&lt;=24,
            (((19 - 14) / (6 ^ 1.5) * 0.15 + 0.85) * 0.4) +
            ((G143 - 19) / (6 ^ 1.5) * 0.15 * 0.1) * 0.4,
            IF(G143&lt;=24,
                (
                    (
                        ((19 - 14) / (6 ^ 1.5) * 0.15 + 0.85) +
                        (5 / (6 ^ 1.5) * 0.15 * 0.1)
                    ) * 0.4
                ) * (1 - ((G143 - 24) / 5)),
                0
            )
        )
    )
)</f>
        <v>0</v>
      </c>
      <c r="I143" s="22">
        <v>0.44</v>
      </c>
      <c r="J143" s="22">
        <v>0.4</v>
      </c>
      <c r="K143" s="24">
        <f>IF(I143&gt;=(J143*1.2),(((((I143/0.5325)^2)*0.25)+(((I143/J143)^2)*0.75))*(0.25))*(0.15),0)</f>
        <v>0</v>
      </c>
      <c r="L143" s="4">
        <v>915</v>
      </c>
      <c r="M143" s="4">
        <f>(D143*(L143^2))/450437</f>
        <v>334.5651001138894</v>
      </c>
      <c r="N143" s="24">
        <f>(((M143/100)/2)*0.1)</f>
        <v>0.1672825500569447</v>
      </c>
      <c r="O143" s="4">
        <v>16</v>
      </c>
      <c r="P143" s="4">
        <v>15</v>
      </c>
      <c r="Q143" s="24">
        <f>((O143/15)*0.4)+(((P143*0.1)*0.25)/15)*0.4</f>
        <v>0.4366666666666667</v>
      </c>
      <c r="R143" s="4">
        <f>M143*O143</f>
        <v>5353.0416018222304</v>
      </c>
    </row>
    <row r="144" spans="1:18" x14ac:dyDescent="0.25">
      <c r="A144" t="s">
        <v>106</v>
      </c>
      <c r="B144" t="s">
        <v>167</v>
      </c>
      <c r="C144" s="2">
        <f>(IF(AND(G144&gt;=13.5,G144&lt;24,I144&gt;=(J144*1.2),E144/D144&gt;=0.85),
(N144
+H144
+K144
+Q144
+F144)*100,
(0.75*(N144
+H144
+K144
+Q144
+F144)*100)))</f>
        <v>58.252475071920365</v>
      </c>
      <c r="D144" s="4">
        <v>165</v>
      </c>
      <c r="E144" s="4">
        <v>165</v>
      </c>
      <c r="F144" s="24">
        <f>IF(E144/D144&gt;=(D144*0.85),(E144/D144)*0.15,((E144/D144)/0.85)*0.15)</f>
        <v>0.17647058823529413</v>
      </c>
      <c r="G144" s="3">
        <v>27.1</v>
      </c>
      <c r="H144" s="24">
        <f>IF(G144&lt;12,
    0,
    IF(G144&lt;=19,
        ((G144 - 14) / (6 ^ 1.5) * 0.15 + 0.85) * 0.4,
        IF(G144&lt;=24,
            (((19 - 14) / (6 ^ 1.5) * 0.15 + 0.85) * 0.4) +
            ((G144 - 19) / (6 ^ 1.5) * 0.15 * 0.1) * 0.4,
            IF(G144&lt;=24,
                (
                    (
                        ((19 - 14) / (6 ^ 1.5) * 0.15 + 0.85) +
                        (5 / (6 ^ 1.5) * 0.15 * 0.1)
                    ) * 0.4
                ) * (1 - ((G144 - 24) / 5)),
                0
            )
        )
    )
)</f>
        <v>0</v>
      </c>
      <c r="I144" s="22">
        <v>0.4</v>
      </c>
      <c r="J144" s="22">
        <v>0.4</v>
      </c>
      <c r="K144" s="24">
        <f>IF(I144&gt;=(J144*1.2),(((((I144/0.5325)^2)*0.25)+(((I144/J144)^2)*0.75))*(0.25))*(0.15),0)</f>
        <v>0</v>
      </c>
      <c r="L144" s="4">
        <v>945</v>
      </c>
      <c r="M144" s="4">
        <f>(D144*(L144^2))/450437</f>
        <v>327.12482544728783</v>
      </c>
      <c r="N144" s="24">
        <f>(((M144/100)/2)*0.1)</f>
        <v>0.16356241272364391</v>
      </c>
      <c r="O144" s="4">
        <v>16</v>
      </c>
      <c r="P144" s="4">
        <v>15</v>
      </c>
      <c r="Q144" s="24">
        <f>((O144/15)*0.4)+(((P144*0.1)*0.25)/15)*0.4</f>
        <v>0.4366666666666667</v>
      </c>
      <c r="R144" s="4">
        <f>M144*O144</f>
        <v>5233.9972071566053</v>
      </c>
    </row>
    <row r="145" spans="1:18" x14ac:dyDescent="0.25">
      <c r="A145" t="s">
        <v>139</v>
      </c>
      <c r="B145" t="s">
        <v>169</v>
      </c>
      <c r="C145" s="2">
        <f>(IF(AND(G145&gt;=13.5,G145&lt;24,I145&gt;=(J145*1.2),E145/D145&gt;=0.85),
(N145
+H145
+K145
+Q145
+F145)*100,
(0.75*(N145
+H145
+K145
+Q145
+F145)*100)))</f>
        <v>58.027121237428389</v>
      </c>
      <c r="D145" s="4">
        <v>78</v>
      </c>
      <c r="E145" s="4">
        <v>43</v>
      </c>
      <c r="F145" s="24">
        <f>IF(E145/D145&gt;=(D145*0.85),(E145/D145)*0.15,((E145/D145)/0.85)*0.15)</f>
        <v>9.7285067873303169E-2</v>
      </c>
      <c r="G145" s="3">
        <v>10.9</v>
      </c>
      <c r="H145" s="24">
        <f>IF(G145&lt;12,
    0,
    IF(G145&lt;=19,
        ((G145 - 14) / (6 ^ 1.5) * 0.15 + 0.85) * 0.4,
        IF(G145&lt;=24,
            (((19 - 14) / (6 ^ 1.5) * 0.15 + 0.85) * 0.4) +
            ((G145 - 19) / (6 ^ 1.5) * 0.15 * 0.1) * 0.4,
            IF(G145&lt;=24,
                (
                    (
                        ((19 - 14) / (6 ^ 1.5) * 0.15 + 0.85) +
                        (5 / (6 ^ 1.5) * 0.15 * 0.1)
                    ) * 0.4
                ) * (1 - ((G145 - 24) / 5)),
                0
            )
        )
    )
)</f>
        <v>0</v>
      </c>
      <c r="I145" s="22">
        <v>0.47</v>
      </c>
      <c r="J145" s="22">
        <v>0.45200000000000001</v>
      </c>
      <c r="K145" s="24">
        <f>IF(I145&gt;=(J145*1.2),(((((I145/0.5325)^2)*0.25)+(((I145/J145)^2)*0.75))*(0.25))*(0.15),0)</f>
        <v>0</v>
      </c>
      <c r="L145" s="4">
        <v>1844</v>
      </c>
      <c r="M145" s="4">
        <f>(D145*(L145^2))/450437</f>
        <v>588.81976391815056</v>
      </c>
      <c r="N145" s="24">
        <f>(((M145/100)/2)*0.1)</f>
        <v>0.2944098819590753</v>
      </c>
      <c r="O145" s="4">
        <v>14</v>
      </c>
      <c r="P145" s="4">
        <v>13</v>
      </c>
      <c r="Q145" s="24">
        <f>((O145/15)*0.4)+(((P145*0.1)*0.25)/15)*0.4</f>
        <v>0.38200000000000001</v>
      </c>
      <c r="R145" s="4">
        <f>M145*O145</f>
        <v>8243.4766948541073</v>
      </c>
    </row>
    <row r="146" spans="1:18" x14ac:dyDescent="0.25">
      <c r="A146" t="s">
        <v>97</v>
      </c>
      <c r="B146" t="s">
        <v>167</v>
      </c>
      <c r="C146" s="2">
        <f>(IF(AND(G146&gt;=13.5,G146&lt;24,I146&gt;=(J146*1.2),E146/D146&gt;=0.85),
(N146
+H146
+K146
+Q146
+F146)*100,
(0.75*(N146
+H146
+K146
+Q146
+F146)*100)))</f>
        <v>56.308768876603366</v>
      </c>
      <c r="D146" s="4">
        <v>180</v>
      </c>
      <c r="E146" s="4">
        <v>180</v>
      </c>
      <c r="F146" s="24">
        <f>IF(E146/D146&gt;=(D146*0.85),(E146/D146)*0.15,((E146/D146)/0.85)*0.15)</f>
        <v>0.17647058823529413</v>
      </c>
      <c r="G146" s="3">
        <v>30</v>
      </c>
      <c r="H146" s="24">
        <f>IF(G146&lt;12,
    0,
    IF(G146&lt;=19,
        ((G146 - 14) / (6 ^ 1.5) * 0.15 + 0.85) * 0.4,
        IF(G146&lt;=24,
            (((19 - 14) / (6 ^ 1.5) * 0.15 + 0.85) * 0.4) +
            ((G146 - 19) / (6 ^ 1.5) * 0.15 * 0.1) * 0.4,
            IF(G146&lt;=24,
                (
                    (
                        ((19 - 14) / (6 ^ 1.5) * 0.15 + 0.85) +
                        (5 / (6 ^ 1.5) * 0.15 * 0.1)
                    ) * 0.4
                ) * (1 - ((G146 - 24) / 5)),
                0
            )
        )
    )
)</f>
        <v>0</v>
      </c>
      <c r="I146" s="22">
        <v>0.4</v>
      </c>
      <c r="J146" s="22">
        <v>0.4</v>
      </c>
      <c r="K146" s="24">
        <f>IF(I146&gt;=(J146*1.2),(((((I146/0.5325)^2)*0.25)+(((I146/J146)^2)*0.75))*(0.25))*(0.15),0)</f>
        <v>0</v>
      </c>
      <c r="L146" s="4">
        <v>830</v>
      </c>
      <c r="M146" s="4">
        <f>(D146*(L146^2))/450437</f>
        <v>275.29266023883474</v>
      </c>
      <c r="N146" s="24">
        <f>(((M146/100)/2)*0.1)</f>
        <v>0.13764633011941738</v>
      </c>
      <c r="O146" s="4">
        <v>16</v>
      </c>
      <c r="P146" s="4">
        <v>15</v>
      </c>
      <c r="Q146" s="24">
        <f>((O146/15)*0.4)+(((P146*0.1)*0.25)/15)*0.4</f>
        <v>0.4366666666666667</v>
      </c>
      <c r="R146" s="4">
        <f>M146*O146</f>
        <v>4404.6825638213559</v>
      </c>
    </row>
    <row r="147" spans="1:18" x14ac:dyDescent="0.25">
      <c r="A147" t="s">
        <v>150</v>
      </c>
      <c r="B147" t="s">
        <v>169</v>
      </c>
      <c r="C147" s="2">
        <f>(IF(AND(G147&gt;=13.5,G147&lt;24,I147&gt;=(J147*1.2),E147/D147&gt;=0.85),
(N147
+H147
+K147
+Q147
+F147)*100,
(0.75*(N147
+H147
+K147
+Q147
+F147)*100)))</f>
        <v>54.517043951697097</v>
      </c>
      <c r="D147" s="4">
        <v>200</v>
      </c>
      <c r="E147" s="4">
        <v>200</v>
      </c>
      <c r="F147" s="24">
        <f>IF(E147/D147&gt;=(D147*0.85),(E147/D147)*0.15,((E147/D147)/0.85)*0.15)</f>
        <v>0.17647058823529413</v>
      </c>
      <c r="G147" s="3">
        <v>31.2</v>
      </c>
      <c r="H147" s="24">
        <f>IF(G147&lt;12,
    0,
    IF(G147&lt;=19,
        ((G147 - 14) / (6 ^ 1.5) * 0.15 + 0.85) * 0.4,
        IF(G147&lt;=24,
            (((19 - 14) / (6 ^ 1.5) * 0.15 + 0.85) * 0.4) +
            ((G147 - 19) / (6 ^ 1.5) * 0.15 * 0.1) * 0.4,
            IF(G147&lt;=24,
                (
                    (
                        ((19 - 14) / (6 ^ 1.5) * 0.15 + 0.85) +
                        (5 / (6 ^ 1.5) * 0.15 * 0.1)
                    ) * 0.4
                ) * (1 - ((G147 - 24) / 5)),
                0
            )
        )
    )
)</f>
        <v>0</v>
      </c>
      <c r="I147" s="22">
        <v>0.45</v>
      </c>
      <c r="J147" s="22">
        <v>0.45200000000000001</v>
      </c>
      <c r="K147" s="24">
        <f>IF(I147&gt;=(J147*1.2),(((((I147/0.5325)^2)*0.25)+(((I147/J147)^2)*0.75))*(0.25))*(0.15),0)</f>
        <v>0</v>
      </c>
      <c r="L147" s="4">
        <v>871</v>
      </c>
      <c r="M147" s="4">
        <f>(D147*(L147^2))/450437</f>
        <v>336.84666224133451</v>
      </c>
      <c r="N147" s="24">
        <f>(((M147/100)/2)*0.1)</f>
        <v>0.16842333112066726</v>
      </c>
      <c r="O147" s="4">
        <v>14</v>
      </c>
      <c r="P147" s="4">
        <v>13</v>
      </c>
      <c r="Q147" s="24">
        <f>((O147/15)*0.4)+(((P147*0.1)*0.25)/15)*0.4</f>
        <v>0.38200000000000001</v>
      </c>
      <c r="R147" s="4">
        <f>M147*O147</f>
        <v>4715.8532713786835</v>
      </c>
    </row>
    <row r="148" spans="1:18" x14ac:dyDescent="0.25">
      <c r="A148" t="s">
        <v>142</v>
      </c>
      <c r="B148" t="s">
        <v>169</v>
      </c>
      <c r="C148" s="2">
        <f>(IF(AND(G148&gt;=13.5,G148&lt;24,I148&gt;=(J148*1.2),E148/D148&gt;=0.85),
(N148
+H148
+K148
+Q148
+F148)*100,
(0.75*(N148
+H148
+K148
+Q148
+F148)*100)))</f>
        <v>52.54150242202703</v>
      </c>
      <c r="D148" s="4">
        <v>230</v>
      </c>
      <c r="E148" s="4">
        <v>230</v>
      </c>
      <c r="F148" s="24">
        <f>IF(E148/D148&gt;=(D148*0.85),(E148/D148)*0.15,((E148/D148)/0.85)*0.15)</f>
        <v>0.17647058823529413</v>
      </c>
      <c r="G148" s="3">
        <v>29.2</v>
      </c>
      <c r="H148" s="24">
        <f>IF(G148&lt;12,
    0,
    IF(G148&lt;=19,
        ((G148 - 14) / (6 ^ 1.5) * 0.15 + 0.85) * 0.4,
        IF(G148&lt;=24,
            (((19 - 14) / (6 ^ 1.5) * 0.15 + 0.85) * 0.4) +
            ((G148 - 19) / (6 ^ 1.5) * 0.15 * 0.1) * 0.4,
            IF(G148&lt;=24,
                (
                    (
                        ((19 - 14) / (6 ^ 1.5) * 0.15 + 0.85) +
                        (5 / (6 ^ 1.5) * 0.15 * 0.1)
                    ) * 0.4
                ) * (1 - ((G148 - 24) / 5)),
                0
            )
        )
    )
)</f>
        <v>0</v>
      </c>
      <c r="I148" s="22">
        <v>0.45</v>
      </c>
      <c r="J148" s="22">
        <v>0.45200000000000001</v>
      </c>
      <c r="K148" s="24">
        <f>IF(I148&gt;=(J148*1.2),(((((I148/0.5325)^2)*0.25)+(((I148/J148)^2)*0.75))*(0.25))*(0.15),0)</f>
        <v>0</v>
      </c>
      <c r="L148" s="4">
        <v>746</v>
      </c>
      <c r="M148" s="4">
        <f>(D148*(L148^2))/450437</f>
        <v>284.16555478346584</v>
      </c>
      <c r="N148" s="24">
        <f>(((M148/100)/2)*0.1)</f>
        <v>0.14208277739173292</v>
      </c>
      <c r="O148" s="4">
        <v>14</v>
      </c>
      <c r="P148" s="4">
        <v>13</v>
      </c>
      <c r="Q148" s="24">
        <f>((O148/15)*0.4)+(((P148*0.1)*0.25)/15)*0.4</f>
        <v>0.38200000000000001</v>
      </c>
      <c r="R148" s="4">
        <f>M148*O148</f>
        <v>3978.3177669685219</v>
      </c>
    </row>
    <row r="149" spans="1:18" x14ac:dyDescent="0.25">
      <c r="A149" t="s">
        <v>19</v>
      </c>
      <c r="B149" s="25" t="s">
        <v>164</v>
      </c>
      <c r="C149" s="1">
        <f>(IF(AND(G149&gt;=13.5,G149&lt;24,I149&gt;=(J149*1.2),E149/D149&gt;=0.85),
(N149
+H149
+K149
+Q149
+F149)*100,
(0.75*(N149
+H149
+K149
+Q149
+F149)*100)))</f>
        <v>45.555295714629352</v>
      </c>
      <c r="D149" s="4">
        <v>95</v>
      </c>
      <c r="E149" s="4">
        <v>95</v>
      </c>
      <c r="F149" s="24">
        <f>IF(E149/D149&gt;=(D149*0.85),(E149/D149)*0.15,((E149/D149)/0.85)*0.15)</f>
        <v>0.17647058823529413</v>
      </c>
      <c r="G149" s="3">
        <v>8.6999999999999993</v>
      </c>
      <c r="H149" s="24">
        <f>IF(G149&lt;12,
    0,
    IF(G149&lt;=19,
        ((G149 - 14) / (6 ^ 1.5) * 0.15 + 0.85) * 0.4,
        IF(G149&lt;=24,
            (((19 - 14) / (6 ^ 1.5) * 0.15 + 0.85) * 0.4) +
            ((G149 - 19) / (6 ^ 1.5) * 0.15 * 0.1) * 0.4,
            IF(G149&lt;=24,
                (
                    (
                        ((19 - 14) / (6 ^ 1.5) * 0.15 + 0.85) +
                        (5 / (6 ^ 1.5) * 0.15 * 0.1)
                    ) * 0.4
                ) * (1 - ((G149 - 24) / 5)),
                0
            )
        )
    )
)</f>
        <v>0</v>
      </c>
      <c r="I149" s="22">
        <v>0.628</v>
      </c>
      <c r="J149" s="22">
        <v>0.35499999999999998</v>
      </c>
      <c r="K149" s="24">
        <f>IF(I149&gt;=(J149*1.2),(((((I149/0.5325)^2)*0.25)+(((I149/J149)^2)*0.75))*(0.25))*(0.15),0)</f>
        <v>0.10105389142365934</v>
      </c>
      <c r="L149" s="4">
        <v>895.4</v>
      </c>
      <c r="M149" s="4">
        <f>(D149*(L149^2))/450437</f>
        <v>169.09225973887578</v>
      </c>
      <c r="N149" s="24">
        <f>(((M149/100)/2)*0.1)</f>
        <v>8.4546129869437894E-2</v>
      </c>
      <c r="O149" s="26">
        <v>9</v>
      </c>
      <c r="P149" s="26">
        <v>8</v>
      </c>
      <c r="Q149" s="27">
        <f>((O149/15)*0.4)+(((P149*0.1)*0.25)/15)*0.4</f>
        <v>0.24533333333333332</v>
      </c>
      <c r="R149" s="26">
        <f>M149*O149</f>
        <v>1521.830337649882</v>
      </c>
    </row>
    <row r="150" spans="1:18" x14ac:dyDescent="0.25">
      <c r="A150" t="s">
        <v>9</v>
      </c>
      <c r="B150" s="25" t="s">
        <v>164</v>
      </c>
      <c r="C150" s="1">
        <f>(IF(AND(G150&gt;=13.5,G150&lt;24,I150&gt;=(J150*1.2),E150/D150&gt;=0.85),
(N150
+H150
+K150
+Q150
+F150)*100,
(0.75*(N150
+H150
+K150
+Q150
+F150)*100)))</f>
        <v>45.445070609322123</v>
      </c>
      <c r="D150" s="4">
        <v>85</v>
      </c>
      <c r="E150" s="4">
        <v>85</v>
      </c>
      <c r="F150" s="24">
        <f>IF(E150/D150&gt;=(D150*0.85),(E150/D150)*0.15,((E150/D150)/0.85)*0.15)</f>
        <v>0.17647058823529413</v>
      </c>
      <c r="G150" s="3">
        <v>10.52</v>
      </c>
      <c r="H150" s="24">
        <f>IF(G150&lt;12,
    0,
    IF(G150&lt;=19,
        ((G150 - 14) / (6 ^ 1.5) * 0.15 + 0.85) * 0.4,
        IF(G150&lt;=24,
            (((19 - 14) / (6 ^ 1.5) * 0.15 + 0.85) * 0.4) +
            ((G150 - 19) / (6 ^ 1.5) * 0.15 * 0.1) * 0.4,
            IF(G150&lt;=24,
                (
                    (
                        ((19 - 14) / (6 ^ 1.5) * 0.15 + 0.85) +
                        (5 / (6 ^ 1.5) * 0.15 * 0.1)
                    ) * 0.4
                ) * (1 - ((G150 - 24) / 5)),
                0
            )
        )
    )
)</f>
        <v>0</v>
      </c>
      <c r="I150" s="22">
        <v>0.57999999999999996</v>
      </c>
      <c r="J150" s="22">
        <v>0.35499999999999998</v>
      </c>
      <c r="K150" s="24">
        <f>IF(I150&gt;=(J150*1.2),(((((I150/0.5325)^2)*0.25)+(((I150/J150)^2)*0.75))*(0.25))*(0.15),0)</f>
        <v>8.6196521854129474E-2</v>
      </c>
      <c r="L150" s="4">
        <v>1018.8</v>
      </c>
      <c r="M150" s="4">
        <f>(D150*(L150^2))/450437</f>
        <v>195.8676627364093</v>
      </c>
      <c r="N150" s="24">
        <f>(((M150/100)/2)*0.1)</f>
        <v>9.793383136820466E-2</v>
      </c>
      <c r="O150" s="26">
        <v>9</v>
      </c>
      <c r="P150" s="26">
        <v>8</v>
      </c>
      <c r="Q150" s="27">
        <f>((O150/15)*0.4)+(((P150*0.1)*0.25)/15)*0.4</f>
        <v>0.24533333333333332</v>
      </c>
      <c r="R150" s="26">
        <f>M150*O150</f>
        <v>1762.8089646276837</v>
      </c>
    </row>
    <row r="151" spans="1:18" x14ac:dyDescent="0.25">
      <c r="A151" t="s">
        <v>17</v>
      </c>
      <c r="B151" s="25" t="s">
        <v>164</v>
      </c>
      <c r="C151" s="1">
        <f>(IF(AND(G151&gt;=13.5,G151&lt;24,I151&gt;=(J151*1.2),E151/D151&gt;=0.85),
(N151
+H151
+K151
+Q151
+F151)*100,
(0.75*(N151
+H151
+K151
+Q151
+F151)*100)))</f>
        <v>45.300256026813422</v>
      </c>
      <c r="D151" s="4">
        <v>95</v>
      </c>
      <c r="E151" s="4">
        <v>95</v>
      </c>
      <c r="F151" s="24">
        <f>IF(E151/D151&gt;=(D151*0.85),(E151/D151)*0.15,((E151/D151)/0.85)*0.15)</f>
        <v>0.17647058823529413</v>
      </c>
      <c r="G151" s="3">
        <v>9.5</v>
      </c>
      <c r="H151" s="24">
        <f>IF(G151&lt;12,
    0,
    IF(G151&lt;=19,
        ((G151 - 14) / (6 ^ 1.5) * 0.15 + 0.85) * 0.4,
        IF(G151&lt;=24,
            (((19 - 14) / (6 ^ 1.5) * 0.15 + 0.85) * 0.4) +
            ((G151 - 19) / (6 ^ 1.5) * 0.15 * 0.1) * 0.4,
            IF(G151&lt;=24,
                (
                    (
                        ((19 - 14) / (6 ^ 1.5) * 0.15 + 0.85) +
                        (5 / (6 ^ 1.5) * 0.15 * 0.1)
                    ) * 0.4
                ) * (1 - ((G151 - 24) / 5)),
                0
            )
        )
    )
)</f>
        <v>0</v>
      </c>
      <c r="I151" s="22">
        <v>0.63200000000000001</v>
      </c>
      <c r="J151" s="22">
        <v>0.35499999999999998</v>
      </c>
      <c r="K151" s="24">
        <f>IF(I151&gt;=(J151*1.2),(((((I151/0.5325)^2)*0.25)+(((I151/J151)^2)*0.75))*(0.25))*(0.15),0)</f>
        <v>0.10234530185809694</v>
      </c>
      <c r="L151" s="4">
        <v>870.2</v>
      </c>
      <c r="M151" s="4">
        <f>(D151*(L151^2))/450437</f>
        <v>159.70838052824257</v>
      </c>
      <c r="N151" s="24">
        <f>(((M151/100)/2)*0.1)</f>
        <v>7.9854190264121286E-2</v>
      </c>
      <c r="O151" s="26">
        <v>9</v>
      </c>
      <c r="P151" s="26">
        <v>8</v>
      </c>
      <c r="Q151" s="27">
        <f>((O151/15)*0.4)+(((P151*0.1)*0.25)/15)*0.4</f>
        <v>0.24533333333333332</v>
      </c>
      <c r="R151" s="26">
        <f>M151*O151</f>
        <v>1437.3754247541831</v>
      </c>
    </row>
    <row r="152" spans="1:18" x14ac:dyDescent="0.25">
      <c r="A152" t="s">
        <v>15</v>
      </c>
      <c r="B152" s="25" t="s">
        <v>164</v>
      </c>
      <c r="C152" s="1">
        <f>(IF(AND(G152&gt;=13.5,G152&lt;24,I152&gt;=(J152*1.2),E152/D152&gt;=0.85),
(N152
+H152
+K152
+Q152
+F152)*100,
(0.75*(N152
+H152
+K152
+Q152
+F152)*100)))</f>
        <v>42.909032643821163</v>
      </c>
      <c r="D152" s="4">
        <v>90</v>
      </c>
      <c r="E152" s="4">
        <v>90</v>
      </c>
      <c r="F152" s="24">
        <f>IF(E152/D152&gt;=(D152*0.85),(E152/D152)*0.15,((E152/D152)/0.85)*0.15)</f>
        <v>0.17647058823529413</v>
      </c>
      <c r="G152" s="3">
        <v>11</v>
      </c>
      <c r="H152" s="24">
        <f>IF(G152&lt;12,
    0,
    IF(G152&lt;=19,
        ((G152 - 14) / (6 ^ 1.5) * 0.15 + 0.85) * 0.4,
        IF(G152&lt;=24,
            (((19 - 14) / (6 ^ 1.5) * 0.15 + 0.85) * 0.4) +
            ((G152 - 19) / (6 ^ 1.5) * 0.15 * 0.1) * 0.4,
            IF(G152&lt;=24,
                (
                    (
                        ((19 - 14) / (6 ^ 1.5) * 0.15 + 0.85) +
                        (5 / (6 ^ 1.5) * 0.15 * 0.1)
                    ) * 0.4
                ) * (1 - ((G152 - 24) / 5)),
                0
            )
        )
    )
)</f>
        <v>0</v>
      </c>
      <c r="I152" s="22">
        <v>0.49399999999999999</v>
      </c>
      <c r="J152" s="22">
        <v>0.35499999999999998</v>
      </c>
      <c r="K152" s="24">
        <f>IF(I152&gt;=(J152*1.2),(((((I152/0.5325)^2)*0.25)+(((I152/J152)^2)*0.75))*(0.25))*(0.15),0)</f>
        <v>6.2529888249685917E-2</v>
      </c>
      <c r="L152" s="4">
        <v>937.4</v>
      </c>
      <c r="M152" s="4">
        <f>(D152*(L152^2))/450437</f>
        <v>175.57325086527084</v>
      </c>
      <c r="N152" s="24">
        <f>(((M152/100)/2)*0.1)</f>
        <v>8.7786625432635434E-2</v>
      </c>
      <c r="O152" s="26">
        <v>9</v>
      </c>
      <c r="P152" s="26">
        <v>8</v>
      </c>
      <c r="Q152" s="27">
        <f>((O152/15)*0.4)+(((P152*0.1)*0.25)/15)*0.4</f>
        <v>0.24533333333333332</v>
      </c>
      <c r="R152" s="26">
        <f>M152*O152</f>
        <v>1580.1592577874376</v>
      </c>
    </row>
    <row r="153" spans="1:18" x14ac:dyDescent="0.25">
      <c r="A153" t="s">
        <v>16</v>
      </c>
      <c r="B153" s="25" t="s">
        <v>164</v>
      </c>
      <c r="C153" s="1">
        <f>(IF(AND(G153&gt;=13.5,G153&lt;24,I153&gt;=(J153*1.2),E153/D153&gt;=0.85),
(N153
+H153
+K153
+Q153
+F153)*100,
(0.75*(N153
+H153
+K153
+Q153
+F153)*100)))</f>
        <v>41.749728092056856</v>
      </c>
      <c r="D153" s="4">
        <v>85</v>
      </c>
      <c r="E153" s="4">
        <v>85</v>
      </c>
      <c r="F153" s="24">
        <f>IF(E153/D153&gt;=(D153*0.85),(E153/D153)*0.15,((E153/D153)/0.85)*0.15)</f>
        <v>0.17647058823529413</v>
      </c>
      <c r="G153" s="3">
        <v>11.02</v>
      </c>
      <c r="H153" s="24">
        <f>IF(G153&lt;12,
    0,
    IF(G153&lt;=19,
        ((G153 - 14) / (6 ^ 1.5) * 0.15 + 0.85) * 0.4,
        IF(G153&lt;=24,
            (((19 - 14) / (6 ^ 1.5) * 0.15 + 0.85) * 0.4) +
            ((G153 - 19) / (6 ^ 1.5) * 0.15 * 0.1) * 0.4,
            IF(G153&lt;=24,
                (
                    (
                        ((19 - 14) / (6 ^ 1.5) * 0.15 + 0.85) +
                        (5 / (6 ^ 1.5) * 0.15 * 0.1)
                    ) * 0.4
                ) * (1 - ((G153 - 24) / 5)),
                0
            )
        )
    )
)</f>
        <v>0</v>
      </c>
      <c r="I153" s="22">
        <v>0.49199999999999999</v>
      </c>
      <c r="J153" s="22">
        <v>0.35499999999999998</v>
      </c>
      <c r="K153" s="24">
        <f>IF(I153&gt;=(J153*1.2),(((((I153/0.5325)^2)*0.25)+(((I153/J153)^2)*0.75))*(0.25))*(0.15),0)</f>
        <v>6.2024598293989305E-2</v>
      </c>
      <c r="L153" s="4">
        <v>878.6</v>
      </c>
      <c r="M153" s="4">
        <f>(D153*(L153^2))/450437</f>
        <v>145.66904272961594</v>
      </c>
      <c r="N153" s="24">
        <f>(((M153/100)/2)*0.1)</f>
        <v>7.2834521364807975E-2</v>
      </c>
      <c r="O153" s="26">
        <v>9</v>
      </c>
      <c r="P153" s="26">
        <v>8</v>
      </c>
      <c r="Q153" s="27">
        <f>((O153/15)*0.4)+(((P153*0.1)*0.25)/15)*0.4</f>
        <v>0.24533333333333332</v>
      </c>
      <c r="R153" s="26">
        <f>M153*O153</f>
        <v>1311.0213845665435</v>
      </c>
    </row>
    <row r="154" spans="1:18" x14ac:dyDescent="0.25">
      <c r="A154" t="s">
        <v>5</v>
      </c>
      <c r="B154" s="25" t="s">
        <v>164</v>
      </c>
      <c r="C154" s="1">
        <f>(IF(AND(G154&gt;=13.5,G154&lt;24,I154&gt;=(J154*1.2),E154/D154&gt;=0.85),
(N154
+H154
+K154
+Q154
+F154)*100,
(0.75*(N154
+H154
+K154
+Q154
+F154)*100)))</f>
        <v>40.32363170314737</v>
      </c>
      <c r="D154" s="4">
        <v>62</v>
      </c>
      <c r="E154" s="4">
        <v>62</v>
      </c>
      <c r="F154" s="24">
        <f>IF(E154/D154&gt;=(D154*0.85),(E154/D154)*0.15,((E154/D154)/0.85)*0.15)</f>
        <v>0.17647058823529413</v>
      </c>
      <c r="G154" s="3">
        <v>10.44</v>
      </c>
      <c r="H154" s="24">
        <f>IF(G154&lt;12,
    0,
    IF(G154&lt;=19,
        ((G154 - 14) / (6 ^ 1.5) * 0.15 + 0.85) * 0.4,
        IF(G154&lt;=24,
            (((19 - 14) / (6 ^ 1.5) * 0.15 + 0.85) * 0.4) +
            ((G154 - 19) / (6 ^ 1.5) * 0.15 * 0.1) * 0.4,
            IF(G154&lt;=24,
                (
                    (
                        ((19 - 14) / (6 ^ 1.5) * 0.15 + 0.85) +
                        (5 / (6 ^ 1.5) * 0.15 * 0.1)
                    ) * 0.4
                ) * (1 - ((G154 - 24) / 5)),
                0
            )
        )
    )
)</f>
        <v>0</v>
      </c>
      <c r="I154" s="22">
        <v>0.35199999999999998</v>
      </c>
      <c r="J154" s="22">
        <v>0.35499999999999998</v>
      </c>
      <c r="K154" s="24">
        <f>IF(I154&gt;=(J154*1.2),(((((I154/0.5325)^2)*0.25)+(((I154/J154)^2)*0.75))*(0.25))*(0.15),0)</f>
        <v>0</v>
      </c>
      <c r="L154" s="4">
        <v>1297.4000000000001</v>
      </c>
      <c r="M154" s="4">
        <f>(D154*(L154^2))/450437</f>
        <v>231.68900228000811</v>
      </c>
      <c r="N154" s="24">
        <f>(((M154/100)/2)*0.1)</f>
        <v>0.11584450114000407</v>
      </c>
      <c r="O154" s="26">
        <v>9</v>
      </c>
      <c r="P154" s="26">
        <v>8</v>
      </c>
      <c r="Q154" s="27">
        <f>((O154/15)*0.4)+(((P154*0.1)*0.25)/15)*0.4</f>
        <v>0.24533333333333332</v>
      </c>
      <c r="R154" s="26">
        <f>M154*O154</f>
        <v>2085.2010205200731</v>
      </c>
    </row>
    <row r="155" spans="1:18" x14ac:dyDescent="0.25">
      <c r="A155" t="s">
        <v>0</v>
      </c>
      <c r="B155" s="25" t="s">
        <v>164</v>
      </c>
      <c r="C155" s="1">
        <f>(IF(AND(G155&gt;=13.5,G155&lt;24,I155&gt;=(J155*1.2),E155/D155&gt;=0.85),
(N155
+H155
+K155
+Q155
+F155)*100,
(0.75*(N155
+H155
+K155
+Q155
+F155)*100)))</f>
        <v>39.881754925743344</v>
      </c>
      <c r="D155" s="4">
        <v>80</v>
      </c>
      <c r="E155" s="4">
        <v>80</v>
      </c>
      <c r="F155" s="24">
        <f>IF(E155/D155&gt;=(D155*0.85),(E155/D155)*0.15,((E155/D155)/0.85)*0.15)</f>
        <v>0.17647058823529413</v>
      </c>
      <c r="G155" s="3">
        <v>8.64</v>
      </c>
      <c r="H155" s="24">
        <f>IF(G155&lt;12,
    0,
    IF(G155&lt;=19,
        ((G155 - 14) / (6 ^ 1.5) * 0.15 + 0.85) * 0.4,
        IF(G155&lt;=24,
            (((19 - 14) / (6 ^ 1.5) * 0.15 + 0.85) * 0.4) +
            ((G155 - 19) / (6 ^ 1.5) * 0.15 * 0.1) * 0.4,
            IF(G155&lt;=24,
                (
                    (
                        ((19 - 14) / (6 ^ 1.5) * 0.15 + 0.85) +
                        (5 / (6 ^ 1.5) * 0.15 * 0.1)
                    ) * 0.4
                ) * (1 - ((G155 - 24) / 5)),
                0
            )
        )
    )
)</f>
        <v>0</v>
      </c>
      <c r="I155" s="22">
        <v>0.45200000000000001</v>
      </c>
      <c r="J155" s="22">
        <v>0.35499999999999998</v>
      </c>
      <c r="K155" s="24">
        <f>IF(I155&gt;=(J155*1.2),(((((I155/0.5325)^2)*0.25)+(((I155/J155)^2)*0.75))*(0.25))*(0.15),0)</f>
        <v>5.2349269324869406E-2</v>
      </c>
      <c r="L155" s="4">
        <v>805.4</v>
      </c>
      <c r="M155" s="4">
        <f>(D155*(L155^2))/450437</f>
        <v>115.20708289949538</v>
      </c>
      <c r="N155" s="24">
        <f>(((M155/100)/2)*0.1)</f>
        <v>5.7603541449747692E-2</v>
      </c>
      <c r="O155" s="26">
        <v>9</v>
      </c>
      <c r="P155" s="26">
        <v>8</v>
      </c>
      <c r="Q155" s="27">
        <f>((O155/15)*0.4)+(((P155*0.1)*0.25)/15)*0.4</f>
        <v>0.24533333333333332</v>
      </c>
      <c r="R155" s="26">
        <f>M155*O155</f>
        <v>1036.8637460954583</v>
      </c>
    </row>
    <row r="156" spans="1:18" x14ac:dyDescent="0.25">
      <c r="A156" t="s">
        <v>8</v>
      </c>
      <c r="B156" s="25" t="s">
        <v>164</v>
      </c>
      <c r="C156" s="1">
        <f>(IF(AND(G156&gt;=13.5,G156&lt;24,I156&gt;=(J156*1.2),E156/D156&gt;=0.85),
(N156
+H156
+K156
+Q156
+F156)*100,
(0.75*(N156
+H156
+K156
+Q156
+F156)*100)))</f>
        <v>39.13873560890999</v>
      </c>
      <c r="D156" s="4">
        <v>50</v>
      </c>
      <c r="E156" s="4">
        <v>50</v>
      </c>
      <c r="F156" s="24">
        <f>IF(E156/D156&gt;=(D156*0.85),(E156/D156)*0.15,((E156/D156)/0.85)*0.15)</f>
        <v>0.17647058823529413</v>
      </c>
      <c r="G156" s="3">
        <v>9.32</v>
      </c>
      <c r="H156" s="24">
        <f>IF(G156&lt;12,
    0,
    IF(G156&lt;=19,
        ((G156 - 14) / (6 ^ 1.5) * 0.15 + 0.85) * 0.4,
        IF(G156&lt;=24,
            (((19 - 14) / (6 ^ 1.5) * 0.15 + 0.85) * 0.4) +
            ((G156 - 19) / (6 ^ 1.5) * 0.15 * 0.1) * 0.4,
            IF(G156&lt;=24,
                (
                    (
                        ((19 - 14) / (6 ^ 1.5) * 0.15 + 0.85) +
                        (5 / (6 ^ 1.5) * 0.15 * 0.1)
                    ) * 0.4
                ) * (1 - ((G156 - 24) / 5)),
                0
            )
        )
    )
)</f>
        <v>0</v>
      </c>
      <c r="I156" s="22">
        <v>0.38800000000000001</v>
      </c>
      <c r="J156" s="22">
        <v>0.35499999999999998</v>
      </c>
      <c r="K156" s="24">
        <f>IF(I156&gt;=(J156*1.2),(((((I156/0.5325)^2)*0.25)+(((I156/J156)^2)*0.75))*(0.25))*(0.15),0)</f>
        <v>0</v>
      </c>
      <c r="L156" s="4">
        <v>1342.6</v>
      </c>
      <c r="M156" s="4">
        <f>(D156*(L156^2))/450437</f>
        <v>200.09177310034474</v>
      </c>
      <c r="N156" s="24">
        <f>(((M156/100)/2)*0.1)</f>
        <v>0.10004588655017238</v>
      </c>
      <c r="O156" s="26">
        <v>9</v>
      </c>
      <c r="P156" s="26">
        <v>8</v>
      </c>
      <c r="Q156" s="27">
        <f>((O156/15)*0.4)+(((P156*0.1)*0.25)/15)*0.4</f>
        <v>0.24533333333333332</v>
      </c>
      <c r="R156" s="26">
        <f>M156*O156</f>
        <v>1800.8259579031026</v>
      </c>
    </row>
    <row r="157" spans="1:18" x14ac:dyDescent="0.25">
      <c r="A157" t="s">
        <v>3</v>
      </c>
      <c r="B157" s="25" t="s">
        <v>164</v>
      </c>
      <c r="C157" s="1">
        <f>(IF(AND(G157&gt;=13.5,G157&lt;24,I157&gt;=(J157*1.2),E157/D157&gt;=0.85),
(N157
+H157
+K157
+Q157
+F157)*100,
(0.75*(N157
+H157
+K157
+Q157
+F157)*100)))</f>
        <v>38.101821900666657</v>
      </c>
      <c r="D157" s="4">
        <v>90</v>
      </c>
      <c r="E157" s="4">
        <v>90</v>
      </c>
      <c r="F157" s="24">
        <f>IF(E157/D157&gt;=(D157*0.85),(E157/D157)*0.15,((E157/D157)/0.85)*0.15)</f>
        <v>0.17647058823529413</v>
      </c>
      <c r="G157" s="3">
        <v>25.58</v>
      </c>
      <c r="H157" s="24">
        <f>IF(G157&lt;12,
    0,
    IF(G157&lt;=19,
        ((G157 - 14) / (6 ^ 1.5) * 0.15 + 0.85) * 0.4,
        IF(G157&lt;=24,
            (((19 - 14) / (6 ^ 1.5) * 0.15 + 0.85) * 0.4) +
            ((G157 - 19) / (6 ^ 1.5) * 0.15 * 0.1) * 0.4,
            IF(G157&lt;=24,
                (
                    (
                        ((19 - 14) / (6 ^ 1.5) * 0.15 + 0.85) +
                        (5 / (6 ^ 1.5) * 0.15 * 0.1)
                    ) * 0.4
                ) * (1 - ((G157 - 24) / 5)),
                0
            )
        )
    )
)</f>
        <v>0</v>
      </c>
      <c r="I157" s="22">
        <v>0.35799999999999998</v>
      </c>
      <c r="J157" s="22">
        <v>0.35499999999999998</v>
      </c>
      <c r="K157" s="24">
        <f>IF(I157&gt;=(J157*1.2),(((((I157/0.5325)^2)*0.25)+(((I157/J157)^2)*0.75))*(0.25))*(0.15),0)</f>
        <v>0</v>
      </c>
      <c r="L157" s="4">
        <v>929</v>
      </c>
      <c r="M157" s="4">
        <f>(D157*(L157^2))/450437</f>
        <v>172.4407408805227</v>
      </c>
      <c r="N157" s="24">
        <f>(((M157/100)/2)*0.1)</f>
        <v>8.622037044026136E-2</v>
      </c>
      <c r="O157" s="26">
        <v>9</v>
      </c>
      <c r="P157" s="26">
        <v>8</v>
      </c>
      <c r="Q157" s="27">
        <f>((O157/15)*0.4)+(((P157*0.1)*0.25)/15)*0.4</f>
        <v>0.24533333333333332</v>
      </c>
      <c r="R157" s="26">
        <f>M157*O157</f>
        <v>1551.9666679247043</v>
      </c>
    </row>
    <row r="159" spans="1:18" x14ac:dyDescent="0.25">
      <c r="A159" s="51" t="s">
        <v>176</v>
      </c>
      <c r="B159" s="51"/>
      <c r="C159" s="51"/>
    </row>
    <row r="160" spans="1:18" x14ac:dyDescent="0.25">
      <c r="E160" t="s">
        <v>210</v>
      </c>
    </row>
    <row r="161" spans="1:3" x14ac:dyDescent="0.25">
      <c r="A161" s="52" t="s">
        <v>177</v>
      </c>
      <c r="B161" s="52"/>
      <c r="C161" s="52"/>
    </row>
    <row r="165" spans="1:3" x14ac:dyDescent="0.25">
      <c r="A165" t="s">
        <v>185</v>
      </c>
    </row>
    <row r="167" spans="1:3" x14ac:dyDescent="0.25">
      <c r="A167" t="s">
        <v>186</v>
      </c>
      <c r="B167">
        <v>13.5</v>
      </c>
    </row>
    <row r="168" spans="1:3" x14ac:dyDescent="0.25">
      <c r="A168" t="s">
        <v>187</v>
      </c>
      <c r="B168">
        <v>24</v>
      </c>
    </row>
    <row r="169" spans="1:3" x14ac:dyDescent="0.25">
      <c r="A169" t="s">
        <v>188</v>
      </c>
      <c r="B169">
        <v>1.2</v>
      </c>
    </row>
    <row r="170" spans="1:3" x14ac:dyDescent="0.25">
      <c r="A170" t="s">
        <v>193</v>
      </c>
      <c r="B170">
        <v>0.85</v>
      </c>
    </row>
    <row r="172" spans="1:3" x14ac:dyDescent="0.25">
      <c r="A172" s="23" t="s">
        <v>190</v>
      </c>
      <c r="B172">
        <v>0.75</v>
      </c>
    </row>
    <row r="174" spans="1:3" x14ac:dyDescent="0.25">
      <c r="A174" t="s">
        <v>178</v>
      </c>
    </row>
    <row r="176" spans="1:3" x14ac:dyDescent="0.25">
      <c r="A176" s="23" t="s">
        <v>189</v>
      </c>
      <c r="B176">
        <v>0.1</v>
      </c>
    </row>
    <row r="177" spans="1:2" x14ac:dyDescent="0.25">
      <c r="A177" s="23"/>
    </row>
    <row r="178" spans="1:2" x14ac:dyDescent="0.25">
      <c r="A178" t="s">
        <v>191</v>
      </c>
    </row>
    <row r="179" spans="1:2" x14ac:dyDescent="0.25">
      <c r="A179" t="s">
        <v>208</v>
      </c>
      <c r="B179">
        <v>12</v>
      </c>
    </row>
    <row r="180" spans="1:2" x14ac:dyDescent="0.25">
      <c r="A180" t="s">
        <v>206</v>
      </c>
      <c r="B180">
        <v>14</v>
      </c>
    </row>
    <row r="181" spans="1:2" x14ac:dyDescent="0.25">
      <c r="A181" t="s">
        <v>205</v>
      </c>
      <c r="B181">
        <v>19</v>
      </c>
    </row>
    <row r="182" spans="1:2" x14ac:dyDescent="0.25">
      <c r="A182" t="s">
        <v>207</v>
      </c>
      <c r="B182">
        <v>24</v>
      </c>
    </row>
    <row r="183" spans="1:2" x14ac:dyDescent="0.25">
      <c r="A183" s="23" t="s">
        <v>204</v>
      </c>
      <c r="B183">
        <v>0.4</v>
      </c>
    </row>
    <row r="185" spans="1:2" x14ac:dyDescent="0.25">
      <c r="A185" t="s">
        <v>194</v>
      </c>
    </row>
    <row r="186" spans="1:2" x14ac:dyDescent="0.25">
      <c r="A186" t="s">
        <v>192</v>
      </c>
      <c r="B186">
        <v>0.53249999999999997</v>
      </c>
    </row>
    <row r="187" spans="1:2" x14ac:dyDescent="0.25">
      <c r="A187" s="23" t="s">
        <v>195</v>
      </c>
      <c r="B187">
        <v>0.15</v>
      </c>
    </row>
    <row r="189" spans="1:2" x14ac:dyDescent="0.25">
      <c r="A189" t="s">
        <v>209</v>
      </c>
      <c r="B189">
        <v>15</v>
      </c>
    </row>
    <row r="190" spans="1:2" x14ac:dyDescent="0.25">
      <c r="A190" s="23" t="s">
        <v>196</v>
      </c>
      <c r="B190">
        <v>0.4</v>
      </c>
    </row>
    <row r="192" spans="1:2" x14ac:dyDescent="0.25">
      <c r="A192" s="23" t="s">
        <v>203</v>
      </c>
      <c r="B192">
        <v>0.15</v>
      </c>
    </row>
  </sheetData>
  <mergeCells count="2">
    <mergeCell ref="A159:C159"/>
    <mergeCell ref="A161:C161"/>
  </mergeCells>
  <hyperlinks>
    <hyperlink ref="A161" r:id="rId1" xr:uid="{3F9E74CB-9A83-4B3E-9EAF-6BFF59C0A9C3}"/>
  </hyperlinks>
  <pageMargins left="0.7" right="0.7" top="0.75" bottom="0.75" header="0.3" footer="0.3"/>
  <pageSetup orientation="portrait"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1FBDAE-C796-4F21-A821-BE671FF2330D}">
  <dimension ref="A1:L21"/>
  <sheetViews>
    <sheetView workbookViewId="0">
      <selection activeCell="L4" sqref="L4"/>
    </sheetView>
  </sheetViews>
  <sheetFormatPr defaultRowHeight="15" x14ac:dyDescent="0.25"/>
  <cols>
    <col min="1" max="1" width="35" bestFit="1" customWidth="1"/>
    <col min="2" max="2" width="12.7109375" customWidth="1"/>
    <col min="3" max="3" width="26.5703125" customWidth="1"/>
    <col min="4" max="4" width="20" customWidth="1"/>
    <col min="5" max="5" width="21" customWidth="1"/>
    <col min="6" max="6" width="37.7109375" customWidth="1"/>
    <col min="7" max="7" width="27.85546875" customWidth="1"/>
    <col min="9" max="9" width="17.7109375" bestFit="1" customWidth="1"/>
    <col min="10" max="10" width="15.28515625" bestFit="1" customWidth="1"/>
    <col min="11" max="11" width="20.7109375" bestFit="1" customWidth="1"/>
    <col min="12" max="12" width="18.28515625" customWidth="1"/>
  </cols>
  <sheetData>
    <row r="1" spans="1:12" x14ac:dyDescent="0.25">
      <c r="A1" t="s">
        <v>20</v>
      </c>
      <c r="B1" t="s">
        <v>21</v>
      </c>
      <c r="C1" t="s">
        <v>22</v>
      </c>
      <c r="D1" t="s">
        <v>23</v>
      </c>
      <c r="E1" t="s">
        <v>24</v>
      </c>
      <c r="F1" t="s">
        <v>25</v>
      </c>
      <c r="G1" t="s">
        <v>162</v>
      </c>
    </row>
    <row r="2" spans="1:12" x14ac:dyDescent="0.25">
      <c r="A2" t="s">
        <v>0</v>
      </c>
      <c r="B2">
        <v>80</v>
      </c>
      <c r="C2" s="3">
        <v>8.64</v>
      </c>
      <c r="D2" s="2">
        <v>0.45200000000000001</v>
      </c>
      <c r="E2" s="4">
        <v>805.4</v>
      </c>
      <c r="F2" s="1">
        <v>115.25749111584901</v>
      </c>
      <c r="G2" s="1">
        <f>10*Table1[[#This Row],[Muzzle Energy (ft-lbf)]]</f>
        <v>1152.5749111584901</v>
      </c>
      <c r="I2" t="s">
        <v>170</v>
      </c>
      <c r="J2" t="s">
        <v>171</v>
      </c>
      <c r="K2" t="s">
        <v>172</v>
      </c>
      <c r="L2" t="s">
        <v>173</v>
      </c>
    </row>
    <row r="3" spans="1:12" x14ac:dyDescent="0.25">
      <c r="A3" t="s">
        <v>1</v>
      </c>
      <c r="B3">
        <v>70</v>
      </c>
      <c r="C3" s="3">
        <v>14.94</v>
      </c>
      <c r="D3" s="2">
        <v>0.35</v>
      </c>
      <c r="E3" s="4">
        <v>1087</v>
      </c>
      <c r="F3" s="1">
        <v>183.70164800994999</v>
      </c>
      <c r="G3" s="1">
        <f>10*Table1[[#This Row],[Muzzle Energy (ft-lbf)]]</f>
        <v>1837.0164800994999</v>
      </c>
      <c r="I3">
        <f>AVERAGE(Table1[Expansion (inches)])</f>
        <v>0.43574999999999992</v>
      </c>
      <c r="J3">
        <f>AVERAGE(Table1[Muzzle Velocity (fps)])</f>
        <v>951.21600000000001</v>
      </c>
      <c r="K3">
        <f>AVERAGE(Table1[Muzzle Energy (ft-lbf)])</f>
        <v>171.53407614099109</v>
      </c>
      <c r="L3">
        <f>AVERAGE(Table1[Penetration Depth (inches)])</f>
        <v>15.068999999999997</v>
      </c>
    </row>
    <row r="4" spans="1:12" x14ac:dyDescent="0.25">
      <c r="A4" t="s">
        <v>2</v>
      </c>
      <c r="B4">
        <v>90</v>
      </c>
      <c r="C4" s="3">
        <v>21.94</v>
      </c>
      <c r="D4" s="2">
        <v>0.36599999999999999</v>
      </c>
      <c r="E4" s="4">
        <v>982.8</v>
      </c>
      <c r="F4" s="1">
        <v>193.07619402985</v>
      </c>
      <c r="G4" s="1">
        <f>10*Table1[[#This Row],[Muzzle Energy (ft-lbf)]]</f>
        <v>1930.7619402985001</v>
      </c>
    </row>
    <row r="5" spans="1:12" x14ac:dyDescent="0.25">
      <c r="A5" t="s">
        <v>3</v>
      </c>
      <c r="B5">
        <v>90</v>
      </c>
      <c r="C5" s="3">
        <v>25.58</v>
      </c>
      <c r="D5" s="2">
        <v>0.35799999999999998</v>
      </c>
      <c r="E5" s="4">
        <v>929</v>
      </c>
      <c r="F5" s="1">
        <v>172.51619136460499</v>
      </c>
      <c r="G5" s="1">
        <f>10*Table1[[#This Row],[Muzzle Energy (ft-lbf)]]</f>
        <v>1725.1619136460499</v>
      </c>
    </row>
    <row r="6" spans="1:12" x14ac:dyDescent="0.25">
      <c r="A6" t="s">
        <v>4</v>
      </c>
      <c r="B6">
        <v>99</v>
      </c>
      <c r="C6" s="3">
        <v>22.48</v>
      </c>
      <c r="D6" s="2">
        <v>0.35399999999999998</v>
      </c>
      <c r="E6" s="4">
        <v>892.94</v>
      </c>
      <c r="F6" s="1">
        <v>175.32170068496799</v>
      </c>
      <c r="G6" s="1">
        <f>10*Table1[[#This Row],[Muzzle Energy (ft-lbf)]]</f>
        <v>1753.2170068496798</v>
      </c>
    </row>
    <row r="7" spans="1:12" x14ac:dyDescent="0.25">
      <c r="A7" t="s">
        <v>5</v>
      </c>
      <c r="B7">
        <v>62</v>
      </c>
      <c r="C7" s="3">
        <v>10.44</v>
      </c>
      <c r="D7" s="2">
        <v>0.35199999999999998</v>
      </c>
      <c r="E7" s="4">
        <v>1297.4000000000001</v>
      </c>
      <c r="F7" s="1">
        <v>231.79037651030501</v>
      </c>
      <c r="G7" s="1">
        <f>10*Table1[[#This Row],[Muzzle Energy (ft-lbf)]]</f>
        <v>2317.9037651030503</v>
      </c>
    </row>
    <row r="8" spans="1:12" x14ac:dyDescent="0.25">
      <c r="A8" t="s">
        <v>6</v>
      </c>
      <c r="B8">
        <v>90</v>
      </c>
      <c r="C8" s="3">
        <v>13.24</v>
      </c>
      <c r="D8" s="2">
        <v>0.51600000000000001</v>
      </c>
      <c r="E8" s="4">
        <v>909.6</v>
      </c>
      <c r="F8" s="1">
        <v>165.386226012793</v>
      </c>
      <c r="G8" s="1">
        <f>10*Table1[[#This Row],[Muzzle Energy (ft-lbf)]]</f>
        <v>1653.8622601279301</v>
      </c>
    </row>
    <row r="9" spans="1:12" x14ac:dyDescent="0.25">
      <c r="A9" t="s">
        <v>7</v>
      </c>
      <c r="B9">
        <v>90</v>
      </c>
      <c r="C9" s="3">
        <v>14.14</v>
      </c>
      <c r="D9" s="2">
        <v>0.39200000000000002</v>
      </c>
      <c r="E9" s="4">
        <v>910</v>
      </c>
      <c r="F9" s="1">
        <v>165.53171641790999</v>
      </c>
      <c r="G9" s="1">
        <f>10*Table1[[#This Row],[Muzzle Energy (ft-lbf)]]</f>
        <v>1655.3171641791</v>
      </c>
    </row>
    <row r="10" spans="1:12" x14ac:dyDescent="0.25">
      <c r="A10" t="s">
        <v>8</v>
      </c>
      <c r="B10">
        <v>50</v>
      </c>
      <c r="C10" s="3">
        <v>9.32</v>
      </c>
      <c r="D10" s="2">
        <v>0.38800000000000001</v>
      </c>
      <c r="E10" s="4">
        <v>1342.6</v>
      </c>
      <c r="F10" s="1">
        <v>200.179322139303</v>
      </c>
      <c r="G10" s="1">
        <f>10*Table1[[#This Row],[Muzzle Energy (ft-lbf)]]</f>
        <v>2001.7932213930299</v>
      </c>
    </row>
    <row r="11" spans="1:12" x14ac:dyDescent="0.25">
      <c r="A11" t="s">
        <v>9</v>
      </c>
      <c r="B11">
        <v>85</v>
      </c>
      <c r="C11" s="3">
        <v>10.52</v>
      </c>
      <c r="D11" s="2">
        <v>0.57999999999999996</v>
      </c>
      <c r="E11" s="4">
        <v>1018.8</v>
      </c>
      <c r="F11" s="1">
        <v>195.95336353944501</v>
      </c>
      <c r="G11" s="1">
        <f>10*Table1[[#This Row],[Muzzle Energy (ft-lbf)]]</f>
        <v>1959.5336353944501</v>
      </c>
    </row>
    <row r="12" spans="1:12" x14ac:dyDescent="0.25">
      <c r="A12" t="s">
        <v>10</v>
      </c>
      <c r="B12">
        <v>95</v>
      </c>
      <c r="C12" s="3">
        <v>23.06</v>
      </c>
      <c r="D12" s="2">
        <v>0.35</v>
      </c>
      <c r="E12" s="4">
        <v>882</v>
      </c>
      <c r="F12" s="1">
        <v>164.140858208955</v>
      </c>
      <c r="G12" s="1">
        <f>10*Table1[[#This Row],[Muzzle Energy (ft-lbf)]]</f>
        <v>1641.40858208955</v>
      </c>
    </row>
    <row r="13" spans="1:12" x14ac:dyDescent="0.25">
      <c r="A13" t="s">
        <v>11</v>
      </c>
      <c r="B13">
        <v>102</v>
      </c>
      <c r="C13" s="3">
        <v>19.46</v>
      </c>
      <c r="D13" s="2">
        <v>0.39</v>
      </c>
      <c r="E13" s="4">
        <v>907</v>
      </c>
      <c r="F13" s="2">
        <v>186.367710554371</v>
      </c>
      <c r="G13" s="2">
        <f>10*Table1[[#This Row],[Muzzle Energy (ft-lbf)]]</f>
        <v>1863.67710554371</v>
      </c>
    </row>
    <row r="14" spans="1:12" x14ac:dyDescent="0.25">
      <c r="A14" t="s">
        <v>12</v>
      </c>
      <c r="B14">
        <v>102</v>
      </c>
      <c r="C14" s="3">
        <v>15.88</v>
      </c>
      <c r="D14" s="2">
        <v>0.39600000000000002</v>
      </c>
      <c r="E14" s="4">
        <v>859.2</v>
      </c>
      <c r="F14" s="1">
        <v>167.24172281449799</v>
      </c>
      <c r="G14" s="1">
        <f>10*Table1[[#This Row],[Muzzle Energy (ft-lbf)]]</f>
        <v>1672.4172281449798</v>
      </c>
    </row>
    <row r="15" spans="1:12" x14ac:dyDescent="0.25">
      <c r="A15" t="s">
        <v>13</v>
      </c>
      <c r="B15">
        <v>88</v>
      </c>
      <c r="C15" s="3">
        <v>16.78</v>
      </c>
      <c r="D15" s="2">
        <v>0.35</v>
      </c>
      <c r="E15" s="4">
        <v>840.2</v>
      </c>
      <c r="F15" s="1">
        <v>137.97612722103699</v>
      </c>
      <c r="G15" s="1">
        <f>10*Table1[[#This Row],[Muzzle Energy (ft-lbf)]]</f>
        <v>1379.76127221037</v>
      </c>
    </row>
    <row r="16" spans="1:12" x14ac:dyDescent="0.25">
      <c r="A16" t="s">
        <v>14</v>
      </c>
      <c r="B16">
        <v>90</v>
      </c>
      <c r="C16" s="3">
        <v>12.84</v>
      </c>
      <c r="D16" s="2">
        <v>0.50600000000000001</v>
      </c>
      <c r="E16" s="4">
        <v>861</v>
      </c>
      <c r="F16" s="1">
        <v>148.18516791044701</v>
      </c>
      <c r="G16" s="1">
        <f>10*Table1[[#This Row],[Muzzle Energy (ft-lbf)]]</f>
        <v>1481.8516791044701</v>
      </c>
    </row>
    <row r="17" spans="1:7" x14ac:dyDescent="0.25">
      <c r="A17" t="s">
        <v>15</v>
      </c>
      <c r="B17">
        <v>90</v>
      </c>
      <c r="C17" s="3">
        <v>11</v>
      </c>
      <c r="D17" s="2">
        <v>0.49399999999999999</v>
      </c>
      <c r="E17" s="4">
        <v>937.4</v>
      </c>
      <c r="F17" s="1">
        <v>175.65007196162</v>
      </c>
      <c r="G17" s="1">
        <f>10*Table1[[#This Row],[Muzzle Energy (ft-lbf)]]</f>
        <v>1756.5007196162001</v>
      </c>
    </row>
    <row r="18" spans="1:7" x14ac:dyDescent="0.25">
      <c r="A18" t="s">
        <v>16</v>
      </c>
      <c r="B18">
        <v>85</v>
      </c>
      <c r="C18" s="3">
        <v>11.02</v>
      </c>
      <c r="D18" s="2">
        <v>0.49199999999999999</v>
      </c>
      <c r="E18" s="4">
        <v>878.6</v>
      </c>
      <c r="F18" s="1">
        <v>145.73277940653799</v>
      </c>
      <c r="G18" s="1">
        <f>10*Table1[[#This Row],[Muzzle Energy (ft-lbf)]]</f>
        <v>1457.3277940653797</v>
      </c>
    </row>
    <row r="19" spans="1:7" x14ac:dyDescent="0.25">
      <c r="A19" t="s">
        <v>17</v>
      </c>
      <c r="B19">
        <v>95</v>
      </c>
      <c r="C19" s="3">
        <v>9.5</v>
      </c>
      <c r="D19" s="2">
        <v>0.63200000000000001</v>
      </c>
      <c r="E19" s="4">
        <v>870.2</v>
      </c>
      <c r="F19" s="1">
        <v>159.77826003908999</v>
      </c>
      <c r="G19" s="1">
        <f>10*Table1[[#This Row],[Muzzle Energy (ft-lbf)]]</f>
        <v>1597.7826003908999</v>
      </c>
    </row>
    <row r="20" spans="1:7" x14ac:dyDescent="0.25">
      <c r="A20" t="s">
        <v>18</v>
      </c>
      <c r="B20">
        <v>95</v>
      </c>
      <c r="C20" s="3">
        <v>21.9</v>
      </c>
      <c r="D20" s="2">
        <v>0.36899999999999999</v>
      </c>
      <c r="E20" s="4">
        <v>917.78</v>
      </c>
      <c r="F20" s="2">
        <v>177.72834976457</v>
      </c>
      <c r="G20" s="2">
        <f>10*Table1[[#This Row],[Muzzle Energy (ft-lbf)]]</f>
        <v>1777.2834976457</v>
      </c>
    </row>
    <row r="21" spans="1:7" x14ac:dyDescent="0.25">
      <c r="A21" t="s">
        <v>19</v>
      </c>
      <c r="B21">
        <v>95</v>
      </c>
      <c r="C21" s="3">
        <v>8.6999999999999993</v>
      </c>
      <c r="D21" s="2">
        <v>0.628</v>
      </c>
      <c r="E21" s="4">
        <v>895.4</v>
      </c>
      <c r="F21" s="1">
        <v>169.166245113717</v>
      </c>
      <c r="G21" s="1">
        <f>10*Table1[[#This Row],[Muzzle Energy (ft-lbf)]]</f>
        <v>1691.6624511371699</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195DE-AC5F-4622-B065-7D800764EDB3}">
  <dimension ref="A1:L53"/>
  <sheetViews>
    <sheetView workbookViewId="0">
      <selection activeCell="C29" sqref="C29"/>
    </sheetView>
  </sheetViews>
  <sheetFormatPr defaultRowHeight="15" x14ac:dyDescent="0.25"/>
  <cols>
    <col min="1" max="1" width="40.42578125" customWidth="1"/>
    <col min="2" max="2" width="12.7109375" customWidth="1"/>
    <col min="3" max="3" width="26.5703125" customWidth="1"/>
    <col min="4" max="4" width="20" customWidth="1"/>
    <col min="5" max="5" width="21" customWidth="1"/>
    <col min="6" max="6" width="21.28515625" customWidth="1"/>
    <col min="7" max="7" width="27.42578125" customWidth="1"/>
    <col min="9" max="9" width="18.7109375" customWidth="1"/>
    <col min="10" max="10" width="16.85546875" customWidth="1"/>
    <col min="11" max="11" width="21" customWidth="1"/>
    <col min="12" max="12" width="19.28515625" customWidth="1"/>
  </cols>
  <sheetData>
    <row r="1" spans="1:12" x14ac:dyDescent="0.25">
      <c r="A1" t="s">
        <v>20</v>
      </c>
      <c r="B1" t="s">
        <v>21</v>
      </c>
      <c r="C1" t="s">
        <v>22</v>
      </c>
      <c r="D1" t="s">
        <v>23</v>
      </c>
      <c r="E1" t="s">
        <v>24</v>
      </c>
      <c r="F1" t="s">
        <v>25</v>
      </c>
      <c r="G1" t="s">
        <v>161</v>
      </c>
    </row>
    <row r="2" spans="1:12" x14ac:dyDescent="0.25">
      <c r="A2" t="s">
        <v>51</v>
      </c>
      <c r="B2">
        <v>124</v>
      </c>
      <c r="C2">
        <v>26.5</v>
      </c>
      <c r="D2">
        <v>0.35</v>
      </c>
      <c r="E2">
        <v>1135</v>
      </c>
      <c r="F2" s="2">
        <v>354.78833511016302</v>
      </c>
      <c r="G2" s="2">
        <f>17*Table2[[#This Row],[Muzzle Energy (ft-lbf)]]</f>
        <v>6031.401696872771</v>
      </c>
      <c r="I2" t="s">
        <v>170</v>
      </c>
      <c r="J2" t="s">
        <v>171</v>
      </c>
      <c r="K2" t="s">
        <v>172</v>
      </c>
      <c r="L2" t="s">
        <v>173</v>
      </c>
    </row>
    <row r="3" spans="1:12" x14ac:dyDescent="0.25">
      <c r="A3" t="s">
        <v>53</v>
      </c>
      <c r="B3">
        <v>124</v>
      </c>
      <c r="C3">
        <v>22.4</v>
      </c>
      <c r="D3">
        <v>0.35</v>
      </c>
      <c r="E3">
        <v>1016</v>
      </c>
      <c r="F3" s="2">
        <v>284.29225302061099</v>
      </c>
      <c r="G3" s="2">
        <f>17*Table2[[#This Row],[Muzzle Energy (ft-lbf)]]</f>
        <v>4832.9683013503864</v>
      </c>
      <c r="I3">
        <f>AVERAGE(Table2[Expansion (inches)])</f>
        <v>0.51480769230769219</v>
      </c>
      <c r="J3">
        <f>AVERAGE(Table2[Muzzle Velocity (fps)])</f>
        <v>1099.0192307692307</v>
      </c>
      <c r="K3">
        <f>AVERAGE(Table2[Muzzle Energy (ft-lbf)])</f>
        <v>328.29246397647699</v>
      </c>
      <c r="L3">
        <f>AVERAGE(Table2[Penetration Depth (inches)])</f>
        <v>17.423076923076927</v>
      </c>
    </row>
    <row r="4" spans="1:12" x14ac:dyDescent="0.25">
      <c r="A4" t="s">
        <v>72</v>
      </c>
      <c r="B4">
        <v>124</v>
      </c>
      <c r="C4">
        <v>22.2</v>
      </c>
      <c r="D4">
        <v>0.41</v>
      </c>
      <c r="E4">
        <v>1153</v>
      </c>
      <c r="F4" s="2">
        <v>366.130765813788</v>
      </c>
      <c r="G4" s="2">
        <f>17*Table2[[#This Row],[Muzzle Energy (ft-lbf)]]</f>
        <v>6224.2230188343965</v>
      </c>
    </row>
    <row r="5" spans="1:12" x14ac:dyDescent="0.25">
      <c r="A5" t="s">
        <v>75</v>
      </c>
      <c r="B5">
        <v>147</v>
      </c>
      <c r="C5">
        <v>21.5</v>
      </c>
      <c r="D5">
        <v>0.51</v>
      </c>
      <c r="E5">
        <v>966</v>
      </c>
      <c r="F5" s="2">
        <v>304.66847014925298</v>
      </c>
      <c r="G5" s="2">
        <f>17*Table2[[#This Row],[Muzzle Energy (ft-lbf)]]</f>
        <v>5179.3639925373009</v>
      </c>
    </row>
    <row r="6" spans="1:12" x14ac:dyDescent="0.25">
      <c r="A6" t="s">
        <v>73</v>
      </c>
      <c r="B6">
        <v>127</v>
      </c>
      <c r="C6">
        <v>21.2</v>
      </c>
      <c r="D6">
        <v>0.54</v>
      </c>
      <c r="E6">
        <v>1207</v>
      </c>
      <c r="F6" s="2">
        <v>410.93599635749803</v>
      </c>
      <c r="G6" s="2">
        <f>17*Table2[[#This Row],[Muzzle Energy (ft-lbf)]]</f>
        <v>6985.9119380774664</v>
      </c>
    </row>
    <row r="7" spans="1:12" x14ac:dyDescent="0.25">
      <c r="A7" t="s">
        <v>74</v>
      </c>
      <c r="B7">
        <v>147</v>
      </c>
      <c r="C7">
        <v>20.6</v>
      </c>
      <c r="D7">
        <v>0.54</v>
      </c>
      <c r="E7">
        <v>945</v>
      </c>
      <c r="F7" s="2">
        <v>291.56599813432803</v>
      </c>
      <c r="G7" s="2">
        <f>17*Table2[[#This Row],[Muzzle Energy (ft-lbf)]]</f>
        <v>4956.6219682835763</v>
      </c>
    </row>
    <row r="8" spans="1:12" x14ac:dyDescent="0.25">
      <c r="A8" t="s">
        <v>50</v>
      </c>
      <c r="B8">
        <v>124</v>
      </c>
      <c r="C8">
        <v>20.399999999999999</v>
      </c>
      <c r="D8">
        <v>0.38</v>
      </c>
      <c r="E8">
        <v>1051</v>
      </c>
      <c r="F8" s="2">
        <v>304.21669331911801</v>
      </c>
      <c r="G8" s="2">
        <f>17*Table2[[#This Row],[Muzzle Energy (ft-lbf)]]</f>
        <v>5171.6837864250065</v>
      </c>
    </row>
    <row r="9" spans="1:12" x14ac:dyDescent="0.25">
      <c r="A9" t="s">
        <v>61</v>
      </c>
      <c r="B9">
        <v>124</v>
      </c>
      <c r="C9">
        <v>19.8</v>
      </c>
      <c r="D9">
        <v>0.35</v>
      </c>
      <c r="E9">
        <v>1152</v>
      </c>
      <c r="F9" s="2">
        <v>365.49594882729201</v>
      </c>
      <c r="G9" s="2">
        <f>17*Table2[[#This Row],[Muzzle Energy (ft-lbf)]]</f>
        <v>6213.4311300639638</v>
      </c>
    </row>
    <row r="10" spans="1:12" x14ac:dyDescent="0.25">
      <c r="A10" t="s">
        <v>63</v>
      </c>
      <c r="B10">
        <v>147</v>
      </c>
      <c r="C10">
        <v>19.8</v>
      </c>
      <c r="D10">
        <v>0.52</v>
      </c>
      <c r="E10">
        <v>960</v>
      </c>
      <c r="F10" s="2">
        <v>300.89552238805902</v>
      </c>
      <c r="G10" s="2">
        <f>17*Table2[[#This Row],[Muzzle Energy (ft-lbf)]]</f>
        <v>5115.2238805970037</v>
      </c>
    </row>
    <row r="11" spans="1:12" x14ac:dyDescent="0.25">
      <c r="A11" t="s">
        <v>44</v>
      </c>
      <c r="B11">
        <v>124</v>
      </c>
      <c r="C11">
        <v>19.7</v>
      </c>
      <c r="D11">
        <v>0.45</v>
      </c>
      <c r="E11">
        <v>1097</v>
      </c>
      <c r="F11" s="2">
        <v>331.42927327647402</v>
      </c>
      <c r="G11" s="2">
        <f>17*Table2[[#This Row],[Muzzle Energy (ft-lbf)]]</f>
        <v>5634.2976457000586</v>
      </c>
    </row>
    <row r="12" spans="1:12" x14ac:dyDescent="0.25">
      <c r="A12" t="s">
        <v>71</v>
      </c>
      <c r="B12">
        <v>124</v>
      </c>
      <c r="C12">
        <v>19.600000000000001</v>
      </c>
      <c r="D12">
        <v>0.52</v>
      </c>
      <c r="E12">
        <v>1142</v>
      </c>
      <c r="F12" s="2">
        <v>359.17807391613297</v>
      </c>
      <c r="G12" s="2">
        <f>17*Table2[[#This Row],[Muzzle Energy (ft-lbf)]]</f>
        <v>6106.0272565742607</v>
      </c>
    </row>
    <row r="13" spans="1:12" x14ac:dyDescent="0.25">
      <c r="A13" t="s">
        <v>47</v>
      </c>
      <c r="B13">
        <v>147</v>
      </c>
      <c r="C13">
        <v>19.3</v>
      </c>
      <c r="D13">
        <v>0.49</v>
      </c>
      <c r="E13">
        <v>994</v>
      </c>
      <c r="F13" s="2">
        <v>322.586380597014</v>
      </c>
      <c r="G13" s="2">
        <f>17*Table2[[#This Row],[Muzzle Energy (ft-lbf)]]</f>
        <v>5483.9684701492379</v>
      </c>
    </row>
    <row r="14" spans="1:12" x14ac:dyDescent="0.25">
      <c r="A14" t="s">
        <v>37</v>
      </c>
      <c r="B14">
        <v>147</v>
      </c>
      <c r="C14">
        <v>19.2</v>
      </c>
      <c r="D14">
        <v>0.6</v>
      </c>
      <c r="E14">
        <v>1008</v>
      </c>
      <c r="F14" s="2">
        <v>331.73731343283498</v>
      </c>
      <c r="G14" s="2">
        <f>17*Table2[[#This Row],[Muzzle Energy (ft-lbf)]]</f>
        <v>5639.5343283581951</v>
      </c>
    </row>
    <row r="15" spans="1:12" x14ac:dyDescent="0.25">
      <c r="A15" t="s">
        <v>43</v>
      </c>
      <c r="B15">
        <v>115</v>
      </c>
      <c r="C15">
        <v>19</v>
      </c>
      <c r="D15">
        <v>0.46</v>
      </c>
      <c r="E15">
        <v>1079</v>
      </c>
      <c r="F15" s="2">
        <v>297.36965840440598</v>
      </c>
      <c r="G15" s="2">
        <f>17*Table2[[#This Row],[Muzzle Energy (ft-lbf)]]</f>
        <v>5055.2841928749021</v>
      </c>
    </row>
    <row r="16" spans="1:12" x14ac:dyDescent="0.25">
      <c r="A16" t="s">
        <v>46</v>
      </c>
      <c r="B16">
        <v>135</v>
      </c>
      <c r="C16">
        <v>19</v>
      </c>
      <c r="D16">
        <v>0.43</v>
      </c>
      <c r="E16">
        <v>1053</v>
      </c>
      <c r="F16" s="2">
        <v>332.46538512793097</v>
      </c>
      <c r="G16" s="2">
        <f>17*Table2[[#This Row],[Muzzle Energy (ft-lbf)]]</f>
        <v>5651.9115471748264</v>
      </c>
    </row>
    <row r="17" spans="1:7" x14ac:dyDescent="0.25">
      <c r="A17" t="s">
        <v>56</v>
      </c>
      <c r="B17">
        <v>115</v>
      </c>
      <c r="C17">
        <v>19</v>
      </c>
      <c r="D17">
        <v>0.45</v>
      </c>
      <c r="E17">
        <v>1141</v>
      </c>
      <c r="F17" s="2">
        <v>332.52557524875601</v>
      </c>
      <c r="G17" s="2">
        <f>17*Table2[[#This Row],[Muzzle Energy (ft-lbf)]]</f>
        <v>5652.9347792288518</v>
      </c>
    </row>
    <row r="18" spans="1:7" x14ac:dyDescent="0.25">
      <c r="A18" t="s">
        <v>64</v>
      </c>
      <c r="B18">
        <v>147</v>
      </c>
      <c r="C18">
        <v>19</v>
      </c>
      <c r="D18">
        <v>0.35</v>
      </c>
      <c r="E18">
        <v>920</v>
      </c>
      <c r="F18" s="2">
        <v>276.34328358208899</v>
      </c>
      <c r="G18" s="2">
        <f>17*Table2[[#This Row],[Muzzle Energy (ft-lbf)]]</f>
        <v>4697.8358208955124</v>
      </c>
    </row>
    <row r="19" spans="1:7" x14ac:dyDescent="0.25">
      <c r="A19" t="s">
        <v>77</v>
      </c>
      <c r="B19">
        <v>147</v>
      </c>
      <c r="C19">
        <v>18.7</v>
      </c>
      <c r="D19">
        <v>0.52</v>
      </c>
      <c r="E19">
        <v>960</v>
      </c>
      <c r="F19" s="2">
        <v>300.89552238805902</v>
      </c>
      <c r="G19" s="2">
        <f>17*Table2[[#This Row],[Muzzle Energy (ft-lbf)]]</f>
        <v>5115.2238805970037</v>
      </c>
    </row>
    <row r="20" spans="1:7" x14ac:dyDescent="0.25">
      <c r="A20" t="s">
        <v>33</v>
      </c>
      <c r="B20">
        <v>124</v>
      </c>
      <c r="C20">
        <v>18.600000000000001</v>
      </c>
      <c r="D20">
        <v>0.43</v>
      </c>
      <c r="E20">
        <v>1053</v>
      </c>
      <c r="F20" s="2">
        <v>305.37561300639601</v>
      </c>
      <c r="G20" s="2">
        <f>17*Table2[[#This Row],[Muzzle Energy (ft-lbf)]]</f>
        <v>5191.3854211087319</v>
      </c>
    </row>
    <row r="21" spans="1:7" x14ac:dyDescent="0.25">
      <c r="A21" t="s">
        <v>31</v>
      </c>
      <c r="B21">
        <v>124</v>
      </c>
      <c r="C21">
        <v>18.3</v>
      </c>
      <c r="D21">
        <v>0.61</v>
      </c>
      <c r="E21">
        <v>1135</v>
      </c>
      <c r="F21" s="2">
        <v>354.78833511016302</v>
      </c>
      <c r="G21" s="2">
        <f>17*Table2[[#This Row],[Muzzle Energy (ft-lbf)]]</f>
        <v>6031.401696872771</v>
      </c>
    </row>
    <row r="22" spans="1:7" x14ac:dyDescent="0.25">
      <c r="A22" t="s">
        <v>32</v>
      </c>
      <c r="B22">
        <v>124</v>
      </c>
      <c r="C22">
        <v>18.3</v>
      </c>
      <c r="D22">
        <v>0.66</v>
      </c>
      <c r="E22">
        <v>1168</v>
      </c>
      <c r="F22" s="2">
        <v>375.71911869225301</v>
      </c>
      <c r="G22" s="2">
        <f>17*Table2[[#This Row],[Muzzle Energy (ft-lbf)]]</f>
        <v>6387.2250177683009</v>
      </c>
    </row>
    <row r="23" spans="1:7" x14ac:dyDescent="0.25">
      <c r="A23" t="s">
        <v>60</v>
      </c>
      <c r="B23">
        <v>124</v>
      </c>
      <c r="C23">
        <v>18.3</v>
      </c>
      <c r="D23">
        <v>0.59</v>
      </c>
      <c r="E23">
        <v>1121</v>
      </c>
      <c r="F23" s="2">
        <v>346.089827647476</v>
      </c>
      <c r="G23" s="2">
        <f>17*Table2[[#This Row],[Muzzle Energy (ft-lbf)]]</f>
        <v>5883.5270700070923</v>
      </c>
    </row>
    <row r="24" spans="1:7" x14ac:dyDescent="0.25">
      <c r="A24" t="s">
        <v>58</v>
      </c>
      <c r="B24">
        <v>124</v>
      </c>
      <c r="C24">
        <v>18.2</v>
      </c>
      <c r="D24">
        <v>0.66</v>
      </c>
      <c r="E24">
        <v>1170</v>
      </c>
      <c r="F24" s="2">
        <v>377.00692963752601</v>
      </c>
      <c r="G24" s="2">
        <f>17*Table2[[#This Row],[Muzzle Energy (ft-lbf)]]</f>
        <v>6409.1178038379421</v>
      </c>
    </row>
    <row r="25" spans="1:7" x14ac:dyDescent="0.25">
      <c r="A25" t="s">
        <v>68</v>
      </c>
      <c r="B25">
        <v>124</v>
      </c>
      <c r="C25">
        <v>18.2</v>
      </c>
      <c r="D25">
        <v>0.51</v>
      </c>
      <c r="E25">
        <v>1160</v>
      </c>
      <c r="F25" s="2">
        <v>370.589907604833</v>
      </c>
      <c r="G25" s="2">
        <f>17*Table2[[#This Row],[Muzzle Energy (ft-lbf)]]</f>
        <v>6300.0284292821607</v>
      </c>
    </row>
    <row r="26" spans="1:7" x14ac:dyDescent="0.25">
      <c r="A26" t="s">
        <v>34</v>
      </c>
      <c r="B26">
        <v>135</v>
      </c>
      <c r="C26">
        <v>18.100000000000001</v>
      </c>
      <c r="D26">
        <v>0.45</v>
      </c>
      <c r="E26">
        <v>1074</v>
      </c>
      <c r="F26" s="2">
        <v>345.85834221748399</v>
      </c>
      <c r="G26" s="2">
        <f>17*Table2[[#This Row],[Muzzle Energy (ft-lbf)]]</f>
        <v>5879.5918176972282</v>
      </c>
    </row>
    <row r="27" spans="1:7" x14ac:dyDescent="0.25">
      <c r="A27" t="s">
        <v>45</v>
      </c>
      <c r="B27">
        <v>135</v>
      </c>
      <c r="C27">
        <v>18.100000000000001</v>
      </c>
      <c r="D27">
        <v>0.47</v>
      </c>
      <c r="E27">
        <v>1118</v>
      </c>
      <c r="F27" s="2">
        <v>374.77731876332598</v>
      </c>
      <c r="G27" s="2">
        <f>17*Table2[[#This Row],[Muzzle Energy (ft-lbf)]]</f>
        <v>6371.2144189765413</v>
      </c>
    </row>
    <row r="28" spans="1:7" x14ac:dyDescent="0.25">
      <c r="A28" t="s">
        <v>69</v>
      </c>
      <c r="B28">
        <v>124</v>
      </c>
      <c r="C28">
        <v>18.100000000000001</v>
      </c>
      <c r="D28">
        <v>0.54</v>
      </c>
      <c r="E28">
        <v>1067</v>
      </c>
      <c r="F28" s="2">
        <v>313.54974235962999</v>
      </c>
      <c r="G28" s="2">
        <f>17*Table2[[#This Row],[Muzzle Energy (ft-lbf)]]</f>
        <v>5330.3456201137096</v>
      </c>
    </row>
    <row r="29" spans="1:7" x14ac:dyDescent="0.25">
      <c r="A29" t="s">
        <v>40</v>
      </c>
      <c r="B29">
        <v>124</v>
      </c>
      <c r="C29">
        <v>17.899999999999999</v>
      </c>
      <c r="D29">
        <v>0.49</v>
      </c>
      <c r="E29">
        <v>1039</v>
      </c>
      <c r="F29" s="2">
        <v>297.30944385216702</v>
      </c>
      <c r="G29" s="2">
        <f>17*Table2[[#This Row],[Muzzle Energy (ft-lbf)]]</f>
        <v>5054.260545486839</v>
      </c>
    </row>
    <row r="30" spans="1:7" x14ac:dyDescent="0.25">
      <c r="A30" t="s">
        <v>38</v>
      </c>
      <c r="B30">
        <v>147</v>
      </c>
      <c r="C30">
        <v>17.7</v>
      </c>
      <c r="D30">
        <v>0.38</v>
      </c>
      <c r="E30">
        <v>962</v>
      </c>
      <c r="F30" s="2">
        <v>302.150559701492</v>
      </c>
      <c r="G30" s="2">
        <f>17*Table2[[#This Row],[Muzzle Energy (ft-lbf)]]</f>
        <v>5136.5595149253641</v>
      </c>
    </row>
    <row r="31" spans="1:7" x14ac:dyDescent="0.25">
      <c r="A31" t="s">
        <v>55</v>
      </c>
      <c r="B31">
        <v>147</v>
      </c>
      <c r="C31">
        <v>17.7</v>
      </c>
      <c r="D31">
        <v>0.35</v>
      </c>
      <c r="E31">
        <v>836</v>
      </c>
      <c r="F31" s="2">
        <v>228.18432835820801</v>
      </c>
      <c r="G31" s="2">
        <f>17*Table2[[#This Row],[Muzzle Energy (ft-lbf)]]</f>
        <v>3879.133582089536</v>
      </c>
    </row>
    <row r="32" spans="1:7" x14ac:dyDescent="0.25">
      <c r="A32" t="s">
        <v>57</v>
      </c>
      <c r="B32">
        <v>115</v>
      </c>
      <c r="C32">
        <v>17.7</v>
      </c>
      <c r="D32">
        <v>0.53</v>
      </c>
      <c r="E32">
        <v>1171</v>
      </c>
      <c r="F32" s="2">
        <v>350.24146011016302</v>
      </c>
      <c r="G32" s="2">
        <f>17*Table2[[#This Row],[Muzzle Energy (ft-lbf)]]</f>
        <v>5954.104821872771</v>
      </c>
    </row>
    <row r="33" spans="1:7" x14ac:dyDescent="0.25">
      <c r="A33" t="s">
        <v>59</v>
      </c>
      <c r="B33">
        <v>124</v>
      </c>
      <c r="C33">
        <v>17.5</v>
      </c>
      <c r="D33">
        <v>0.43</v>
      </c>
      <c r="E33">
        <v>1114</v>
      </c>
      <c r="F33" s="2">
        <v>341.78105899076002</v>
      </c>
      <c r="G33" s="2">
        <f>17*Table2[[#This Row],[Muzzle Energy (ft-lbf)]]</f>
        <v>5810.2780028429206</v>
      </c>
    </row>
    <row r="34" spans="1:7" x14ac:dyDescent="0.25">
      <c r="A34" t="s">
        <v>39</v>
      </c>
      <c r="B34">
        <v>150</v>
      </c>
      <c r="C34">
        <v>17.3</v>
      </c>
      <c r="D34">
        <v>0.71</v>
      </c>
      <c r="E34">
        <v>888</v>
      </c>
      <c r="F34" s="2">
        <v>262.707889125799</v>
      </c>
      <c r="G34" s="2">
        <f>17*Table2[[#This Row],[Muzzle Energy (ft-lbf)]]</f>
        <v>4466.0341151385828</v>
      </c>
    </row>
    <row r="35" spans="1:7" x14ac:dyDescent="0.25">
      <c r="A35" t="s">
        <v>65</v>
      </c>
      <c r="B35">
        <v>124</v>
      </c>
      <c r="C35">
        <v>17.3</v>
      </c>
      <c r="D35">
        <v>0.52</v>
      </c>
      <c r="E35">
        <v>1072</v>
      </c>
      <c r="F35" s="2">
        <v>316.49523809523799</v>
      </c>
      <c r="G35" s="2">
        <f>17*Table2[[#This Row],[Muzzle Energy (ft-lbf)]]</f>
        <v>5380.4190476190461</v>
      </c>
    </row>
    <row r="36" spans="1:7" x14ac:dyDescent="0.25">
      <c r="A36" t="s">
        <v>67</v>
      </c>
      <c r="B36">
        <v>124</v>
      </c>
      <c r="C36">
        <v>16.8</v>
      </c>
      <c r="D36">
        <v>0.52</v>
      </c>
      <c r="E36">
        <v>1141</v>
      </c>
      <c r="F36" s="2">
        <v>358.54931592039799</v>
      </c>
      <c r="G36" s="2">
        <f>17*Table2[[#This Row],[Muzzle Energy (ft-lbf)]]</f>
        <v>6095.3383706467657</v>
      </c>
    </row>
    <row r="37" spans="1:7" x14ac:dyDescent="0.25">
      <c r="A37" t="s">
        <v>76</v>
      </c>
      <c r="B37">
        <v>147</v>
      </c>
      <c r="C37">
        <v>16.5</v>
      </c>
      <c r="D37">
        <v>0.74</v>
      </c>
      <c r="E37">
        <v>941</v>
      </c>
      <c r="F37" s="2">
        <v>289.102938432835</v>
      </c>
      <c r="G37" s="2">
        <f>17*Table2[[#This Row],[Muzzle Energy (ft-lbf)]]</f>
        <v>4914.7499533581949</v>
      </c>
    </row>
    <row r="38" spans="1:7" x14ac:dyDescent="0.25">
      <c r="A38" t="s">
        <v>62</v>
      </c>
      <c r="B38">
        <v>147</v>
      </c>
      <c r="C38">
        <v>16.399999999999999</v>
      </c>
      <c r="D38">
        <v>0.63</v>
      </c>
      <c r="E38">
        <v>991</v>
      </c>
      <c r="F38" s="2">
        <v>320.64211753731303</v>
      </c>
      <c r="G38" s="2">
        <f>17*Table2[[#This Row],[Muzzle Energy (ft-lbf)]]</f>
        <v>5450.9159981343219</v>
      </c>
    </row>
    <row r="39" spans="1:7" x14ac:dyDescent="0.25">
      <c r="A39" t="s">
        <v>66</v>
      </c>
      <c r="B39">
        <v>115</v>
      </c>
      <c r="C39">
        <v>16.399999999999999</v>
      </c>
      <c r="D39">
        <v>0.55000000000000004</v>
      </c>
      <c r="E39">
        <v>1143</v>
      </c>
      <c r="F39" s="2">
        <v>333.69233075692898</v>
      </c>
      <c r="G39" s="2">
        <f>17*Table2[[#This Row],[Muzzle Energy (ft-lbf)]]</f>
        <v>5672.7696228677924</v>
      </c>
    </row>
    <row r="40" spans="1:7" x14ac:dyDescent="0.25">
      <c r="A40" t="s">
        <v>70</v>
      </c>
      <c r="B40">
        <v>147</v>
      </c>
      <c r="C40">
        <v>16.100000000000001</v>
      </c>
      <c r="D40">
        <v>0.42</v>
      </c>
      <c r="E40">
        <v>953</v>
      </c>
      <c r="F40" s="2">
        <v>296.52346082089502</v>
      </c>
      <c r="G40" s="2">
        <f>17*Table2[[#This Row],[Muzzle Energy (ft-lbf)]]</f>
        <v>5040.8988339552152</v>
      </c>
    </row>
    <row r="41" spans="1:7" x14ac:dyDescent="0.25">
      <c r="A41" t="s">
        <v>36</v>
      </c>
      <c r="B41">
        <v>147</v>
      </c>
      <c r="C41">
        <v>15.2</v>
      </c>
      <c r="D41">
        <v>0.61</v>
      </c>
      <c r="E41">
        <v>973</v>
      </c>
      <c r="F41" s="2">
        <v>309.09995335820798</v>
      </c>
      <c r="G41" s="2">
        <f>17*Table2[[#This Row],[Muzzle Energy (ft-lbf)]]</f>
        <v>5254.6992070895358</v>
      </c>
    </row>
    <row r="42" spans="1:7" x14ac:dyDescent="0.25">
      <c r="A42" t="s">
        <v>49</v>
      </c>
      <c r="B42">
        <v>115</v>
      </c>
      <c r="C42">
        <v>15.2</v>
      </c>
      <c r="D42">
        <v>0.56000000000000005</v>
      </c>
      <c r="E42">
        <v>1175</v>
      </c>
      <c r="F42" s="2">
        <v>352.63831512082402</v>
      </c>
      <c r="G42" s="2">
        <f>17*Table2[[#This Row],[Muzzle Energy (ft-lbf)]]</f>
        <v>5994.8513570540081</v>
      </c>
    </row>
    <row r="43" spans="1:7" x14ac:dyDescent="0.25">
      <c r="A43" t="s">
        <v>41</v>
      </c>
      <c r="B43">
        <v>92</v>
      </c>
      <c r="C43">
        <v>14.5</v>
      </c>
      <c r="D43">
        <v>0.36</v>
      </c>
      <c r="E43">
        <v>1255</v>
      </c>
      <c r="F43" s="2">
        <v>321.83346659559299</v>
      </c>
      <c r="G43" s="2">
        <f>17*Table2[[#This Row],[Muzzle Energy (ft-lbf)]]</f>
        <v>5471.1689321250806</v>
      </c>
    </row>
    <row r="44" spans="1:7" x14ac:dyDescent="0.25">
      <c r="A44" t="s">
        <v>28</v>
      </c>
      <c r="B44">
        <v>115</v>
      </c>
      <c r="C44">
        <v>13.9</v>
      </c>
      <c r="D44">
        <v>0.69</v>
      </c>
      <c r="E44">
        <v>1123</v>
      </c>
      <c r="F44" s="2">
        <v>322.116726634683</v>
      </c>
      <c r="G44" s="2">
        <f>17*Table2[[#This Row],[Muzzle Energy (ft-lbf)]]</f>
        <v>5475.984352789611</v>
      </c>
    </row>
    <row r="45" spans="1:7" x14ac:dyDescent="0.25">
      <c r="A45" t="s">
        <v>35</v>
      </c>
      <c r="B45">
        <v>135</v>
      </c>
      <c r="C45">
        <v>13.8</v>
      </c>
      <c r="D45">
        <v>0.61</v>
      </c>
      <c r="E45">
        <v>1022</v>
      </c>
      <c r="F45" s="2">
        <v>313.17817164179098</v>
      </c>
      <c r="G45" s="2">
        <f>17*Table2[[#This Row],[Muzzle Energy (ft-lbf)]]</f>
        <v>5324.0289179104466</v>
      </c>
    </row>
    <row r="46" spans="1:7" x14ac:dyDescent="0.25">
      <c r="A46" t="s">
        <v>27</v>
      </c>
      <c r="B46">
        <v>115</v>
      </c>
      <c r="C46">
        <v>13.6</v>
      </c>
      <c r="D46">
        <v>0.56000000000000005</v>
      </c>
      <c r="E46">
        <v>1221</v>
      </c>
      <c r="F46" s="2">
        <v>380.78961220682299</v>
      </c>
      <c r="G46" s="2">
        <f>17*Table2[[#This Row],[Muzzle Energy (ft-lbf)]]</f>
        <v>6473.4234075159911</v>
      </c>
    </row>
    <row r="47" spans="1:7" x14ac:dyDescent="0.25">
      <c r="A47" t="s">
        <v>54</v>
      </c>
      <c r="B47">
        <v>115</v>
      </c>
      <c r="C47">
        <v>13.5</v>
      </c>
      <c r="D47">
        <v>0.69</v>
      </c>
      <c r="E47">
        <v>1045</v>
      </c>
      <c r="F47" s="2">
        <v>278.924295931058</v>
      </c>
      <c r="G47" s="2">
        <f>17*Table2[[#This Row],[Muzzle Energy (ft-lbf)]]</f>
        <v>4741.7130308279857</v>
      </c>
    </row>
    <row r="48" spans="1:7" x14ac:dyDescent="0.25">
      <c r="A48" t="s">
        <v>26</v>
      </c>
      <c r="B48">
        <v>115</v>
      </c>
      <c r="C48">
        <v>13.4</v>
      </c>
      <c r="D48">
        <v>0.7</v>
      </c>
      <c r="E48">
        <v>1043</v>
      </c>
      <c r="F48" s="2">
        <v>277.857664800995</v>
      </c>
      <c r="G48" s="2">
        <f>17*Table2[[#This Row],[Muzzle Energy (ft-lbf)]]</f>
        <v>4723.5803016169148</v>
      </c>
    </row>
    <row r="49" spans="1:7" x14ac:dyDescent="0.25">
      <c r="A49" t="s">
        <v>42</v>
      </c>
      <c r="B49">
        <v>115</v>
      </c>
      <c r="C49">
        <v>13.1</v>
      </c>
      <c r="D49">
        <v>0.5</v>
      </c>
      <c r="E49">
        <v>1143</v>
      </c>
      <c r="F49" s="2">
        <v>333.69233075692898</v>
      </c>
      <c r="G49" s="2">
        <f>17*Table2[[#This Row],[Muzzle Energy (ft-lbf)]]</f>
        <v>5672.7696228677924</v>
      </c>
    </row>
    <row r="50" spans="1:7" x14ac:dyDescent="0.25">
      <c r="A50" t="s">
        <v>52</v>
      </c>
      <c r="B50">
        <v>92.6</v>
      </c>
      <c r="C50">
        <v>12.9</v>
      </c>
      <c r="D50">
        <v>0.54</v>
      </c>
      <c r="E50">
        <v>1330</v>
      </c>
      <c r="F50" s="2">
        <v>363.80628109452698</v>
      </c>
      <c r="G50" s="2">
        <f>17*Table2[[#This Row],[Muzzle Energy (ft-lbf)]]</f>
        <v>6184.7067786069583</v>
      </c>
    </row>
    <row r="51" spans="1:7" x14ac:dyDescent="0.25">
      <c r="A51" t="s">
        <v>30</v>
      </c>
      <c r="B51">
        <v>105</v>
      </c>
      <c r="C51">
        <v>12.6</v>
      </c>
      <c r="D51">
        <v>0.5</v>
      </c>
      <c r="E51">
        <v>1180</v>
      </c>
      <c r="F51" s="2">
        <v>324.72014925373099</v>
      </c>
      <c r="G51" s="2">
        <f>17*Table2[[#This Row],[Muzzle Energy (ft-lbf)]]</f>
        <v>5520.2425373134265</v>
      </c>
    </row>
    <row r="52" spans="1:7" x14ac:dyDescent="0.25">
      <c r="A52" t="s">
        <v>48</v>
      </c>
      <c r="B52">
        <v>50</v>
      </c>
      <c r="C52">
        <v>9.6</v>
      </c>
      <c r="D52">
        <v>0.37</v>
      </c>
      <c r="E52">
        <v>2034</v>
      </c>
      <c r="F52" s="2">
        <v>459.43896588486098</v>
      </c>
      <c r="G52" s="2">
        <f>17*Table2[[#This Row],[Muzzle Energy (ft-lbf)]]</f>
        <v>7810.4624200426369</v>
      </c>
    </row>
    <row r="53" spans="1:7" x14ac:dyDescent="0.25">
      <c r="A53" t="s">
        <v>29</v>
      </c>
      <c r="B53">
        <v>80</v>
      </c>
      <c r="C53">
        <v>8.3000000000000007</v>
      </c>
      <c r="D53">
        <v>0.67</v>
      </c>
      <c r="E53">
        <v>1309</v>
      </c>
      <c r="F53" s="2">
        <v>304.45646766169102</v>
      </c>
      <c r="G53" s="2">
        <f>17*Table2[[#This Row],[Muzzle Energy (ft-lbf)]]</f>
        <v>5175.7599502487474</v>
      </c>
    </row>
  </sheetData>
  <pageMargins left="0.7" right="0.7" top="0.75" bottom="0.75" header="0.3" footer="0.3"/>
  <drawing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F6FCE2-C448-4852-92FF-B9419E3052E4}">
  <dimension ref="A1:L53"/>
  <sheetViews>
    <sheetView workbookViewId="0">
      <selection activeCell="E24" sqref="E24"/>
    </sheetView>
  </sheetViews>
  <sheetFormatPr defaultRowHeight="15" x14ac:dyDescent="0.25"/>
  <cols>
    <col min="1" max="1" width="40.7109375" bestFit="1" customWidth="1"/>
    <col min="2" max="2" width="13.28515625" bestFit="1" customWidth="1"/>
    <col min="3" max="3" width="28.28515625" bestFit="1" customWidth="1"/>
    <col min="4" max="4" width="20.7109375" bestFit="1" customWidth="1"/>
    <col min="5" max="5" width="22.140625" bestFit="1" customWidth="1"/>
    <col min="6" max="6" width="22.7109375" bestFit="1" customWidth="1"/>
    <col min="7" max="7" width="27.42578125" customWidth="1"/>
    <col min="9" max="9" width="17.7109375" bestFit="1" customWidth="1"/>
    <col min="10" max="10" width="15.28515625" bestFit="1" customWidth="1"/>
    <col min="11" max="11" width="20.7109375" bestFit="1" customWidth="1"/>
    <col min="12" max="12" width="18.85546875" customWidth="1"/>
  </cols>
  <sheetData>
    <row r="1" spans="1:12" x14ac:dyDescent="0.25">
      <c r="A1" t="s">
        <v>20</v>
      </c>
      <c r="B1" t="s">
        <v>21</v>
      </c>
      <c r="C1" t="s">
        <v>22</v>
      </c>
      <c r="D1" t="s">
        <v>23</v>
      </c>
      <c r="E1" t="s">
        <v>24</v>
      </c>
      <c r="F1" t="s">
        <v>25</v>
      </c>
      <c r="G1" t="s">
        <v>160</v>
      </c>
    </row>
    <row r="2" spans="1:12" x14ac:dyDescent="0.25">
      <c r="A2" t="s">
        <v>78</v>
      </c>
      <c r="B2">
        <v>140</v>
      </c>
      <c r="C2">
        <v>12.4</v>
      </c>
      <c r="D2">
        <v>0.76</v>
      </c>
      <c r="E2" s="2">
        <v>1037</v>
      </c>
      <c r="F2" s="2">
        <v>334.23466544710999</v>
      </c>
      <c r="G2" s="2">
        <f>15*Table24[[#This Row],[Muzzle Energy (ft-lbf)]]</f>
        <v>5013.5199817066496</v>
      </c>
      <c r="I2" t="s">
        <v>170</v>
      </c>
      <c r="J2" t="s">
        <v>171</v>
      </c>
      <c r="K2" t="s">
        <v>172</v>
      </c>
      <c r="L2" t="s">
        <v>173</v>
      </c>
    </row>
    <row r="3" spans="1:12" x14ac:dyDescent="0.25">
      <c r="A3" t="s">
        <v>79</v>
      </c>
      <c r="B3">
        <v>135</v>
      </c>
      <c r="C3">
        <v>10.8</v>
      </c>
      <c r="D3">
        <v>0.65</v>
      </c>
      <c r="E3" s="2">
        <v>1124</v>
      </c>
      <c r="F3" s="2">
        <v>378.64509354249299</v>
      </c>
      <c r="G3" s="2">
        <f>15*Table24[[#This Row],[Muzzle Energy (ft-lbf)]]</f>
        <v>5679.676403137395</v>
      </c>
      <c r="I3">
        <f>AVERAGE(Table24[Expansion (inches)])</f>
        <v>0.61049999999999993</v>
      </c>
      <c r="J3">
        <f>AVERAGE(Table24[Muzzle Velocity (fps)])</f>
        <v>1019.775</v>
      </c>
      <c r="K3">
        <f>AVERAGE(Table24[Muzzle Energy (ft-lbf)])</f>
        <v>372.72821088187658</v>
      </c>
      <c r="L3">
        <f>AVERAGE(Table24[Penetration Depth (inches)])</f>
        <v>18.650000000000006</v>
      </c>
    </row>
    <row r="4" spans="1:12" x14ac:dyDescent="0.25">
      <c r="A4" t="s">
        <v>80</v>
      </c>
      <c r="B4">
        <v>155</v>
      </c>
      <c r="C4">
        <v>17.2</v>
      </c>
      <c r="D4">
        <v>0.67</v>
      </c>
      <c r="E4" s="2">
        <v>1084</v>
      </c>
      <c r="F4" s="2">
        <v>404.34884345646498</v>
      </c>
      <c r="G4" s="2">
        <f>15*Table24[[#This Row],[Muzzle Energy (ft-lbf)]]</f>
        <v>6065.2326518469745</v>
      </c>
    </row>
    <row r="5" spans="1:12" x14ac:dyDescent="0.25">
      <c r="A5" t="s">
        <v>81</v>
      </c>
      <c r="B5">
        <v>155</v>
      </c>
      <c r="C5">
        <v>18.399999999999999</v>
      </c>
      <c r="D5">
        <v>0.63</v>
      </c>
      <c r="E5" s="2">
        <v>1072</v>
      </c>
      <c r="F5" s="2">
        <v>395.44602241822901</v>
      </c>
      <c r="G5" s="2">
        <f>15*Table24[[#This Row],[Muzzle Energy (ft-lbf)]]</f>
        <v>5931.6903362734347</v>
      </c>
    </row>
    <row r="6" spans="1:12" x14ac:dyDescent="0.25">
      <c r="A6" t="s">
        <v>82</v>
      </c>
      <c r="B6">
        <v>155</v>
      </c>
      <c r="C6">
        <v>11.9</v>
      </c>
      <c r="D6">
        <v>0.68</v>
      </c>
      <c r="E6" s="2">
        <v>1058</v>
      </c>
      <c r="F6" s="2">
        <v>385.18465401376801</v>
      </c>
      <c r="G6" s="2">
        <f>15*Table24[[#This Row],[Muzzle Energy (ft-lbf)]]</f>
        <v>5777.7698102065206</v>
      </c>
    </row>
    <row r="7" spans="1:12" x14ac:dyDescent="0.25">
      <c r="A7" t="s">
        <v>83</v>
      </c>
      <c r="B7">
        <v>165</v>
      </c>
      <c r="C7">
        <v>20.399999999999999</v>
      </c>
      <c r="D7">
        <v>0.5</v>
      </c>
      <c r="E7" s="2">
        <v>948</v>
      </c>
      <c r="F7" s="2">
        <v>329.20510526444298</v>
      </c>
      <c r="G7" s="2">
        <f>15*Table24[[#This Row],[Muzzle Energy (ft-lbf)]]</f>
        <v>4938.0765789666448</v>
      </c>
    </row>
    <row r="8" spans="1:12" x14ac:dyDescent="0.25">
      <c r="A8" t="s">
        <v>84</v>
      </c>
      <c r="B8">
        <v>165</v>
      </c>
      <c r="C8">
        <v>14</v>
      </c>
      <c r="D8">
        <v>0.73</v>
      </c>
      <c r="E8" s="2">
        <v>978</v>
      </c>
      <c r="F8" s="2">
        <v>350.37055126465998</v>
      </c>
      <c r="G8" s="2">
        <f>15*Table24[[#This Row],[Muzzle Energy (ft-lbf)]]</f>
        <v>5255.5582689698995</v>
      </c>
    </row>
    <row r="9" spans="1:12" x14ac:dyDescent="0.25">
      <c r="A9" t="s">
        <v>85</v>
      </c>
      <c r="B9">
        <v>180</v>
      </c>
      <c r="C9">
        <v>18.5</v>
      </c>
      <c r="D9">
        <v>0.72</v>
      </c>
      <c r="E9" s="2">
        <v>964</v>
      </c>
      <c r="F9" s="2">
        <v>371.35777034302203</v>
      </c>
      <c r="G9" s="2">
        <f>15*Table24[[#This Row],[Muzzle Energy (ft-lbf)]]</f>
        <v>5570.3665551453305</v>
      </c>
    </row>
    <row r="10" spans="1:12" x14ac:dyDescent="0.25">
      <c r="A10" t="s">
        <v>86</v>
      </c>
      <c r="B10">
        <v>180</v>
      </c>
      <c r="C10">
        <v>16.399999999999999</v>
      </c>
      <c r="D10">
        <v>0.6</v>
      </c>
      <c r="E10" s="2">
        <v>932</v>
      </c>
      <c r="F10" s="2">
        <v>347.112515179703</v>
      </c>
      <c r="G10" s="2">
        <f>15*Table24[[#This Row],[Muzzle Energy (ft-lbf)]]</f>
        <v>5206.6877276955447</v>
      </c>
    </row>
    <row r="11" spans="1:12" x14ac:dyDescent="0.25">
      <c r="A11" t="s">
        <v>87</v>
      </c>
      <c r="B11">
        <v>180</v>
      </c>
      <c r="C11">
        <v>27.6</v>
      </c>
      <c r="D11">
        <v>0.44</v>
      </c>
      <c r="E11" s="2">
        <v>915</v>
      </c>
      <c r="F11" s="2">
        <v>334.565100113889</v>
      </c>
      <c r="G11" s="2">
        <f>15*Table24[[#This Row],[Muzzle Energy (ft-lbf)]]</f>
        <v>5018.4765017083355</v>
      </c>
    </row>
    <row r="12" spans="1:12" x14ac:dyDescent="0.25">
      <c r="A12" t="s">
        <v>88</v>
      </c>
      <c r="B12">
        <v>155</v>
      </c>
      <c r="C12">
        <v>22.4</v>
      </c>
      <c r="D12">
        <v>0.49</v>
      </c>
      <c r="E12" s="2">
        <v>1101</v>
      </c>
      <c r="F12" s="2">
        <v>417.13081962627399</v>
      </c>
      <c r="G12" s="2">
        <f>15*Table24[[#This Row],[Muzzle Energy (ft-lbf)]]</f>
        <v>6256.9622943941094</v>
      </c>
    </row>
    <row r="13" spans="1:12" x14ac:dyDescent="0.25">
      <c r="A13" t="s">
        <v>89</v>
      </c>
      <c r="B13">
        <v>165</v>
      </c>
      <c r="C13">
        <v>16.600000000000001</v>
      </c>
      <c r="D13">
        <v>0.6</v>
      </c>
      <c r="E13" s="2">
        <v>1075</v>
      </c>
      <c r="F13" s="2">
        <v>423.31807777780199</v>
      </c>
      <c r="G13" s="2">
        <f>15*Table24[[#This Row],[Muzzle Energy (ft-lbf)]]</f>
        <v>6349.7711666670302</v>
      </c>
    </row>
    <row r="14" spans="1:12" x14ac:dyDescent="0.25">
      <c r="A14" t="s">
        <v>90</v>
      </c>
      <c r="B14">
        <v>175</v>
      </c>
      <c r="C14">
        <v>19.399999999999999</v>
      </c>
      <c r="D14">
        <v>0.42</v>
      </c>
      <c r="E14" s="2">
        <v>970</v>
      </c>
      <c r="F14" s="2">
        <v>365.55056533988102</v>
      </c>
      <c r="G14" s="2">
        <f>15*Table24[[#This Row],[Muzzle Energy (ft-lbf)]]</f>
        <v>5483.2584800982149</v>
      </c>
    </row>
    <row r="15" spans="1:12" x14ac:dyDescent="0.25">
      <c r="A15" t="s">
        <v>91</v>
      </c>
      <c r="B15">
        <v>180</v>
      </c>
      <c r="C15">
        <v>20.9</v>
      </c>
      <c r="D15">
        <v>0.5</v>
      </c>
      <c r="E15" s="2">
        <v>933</v>
      </c>
      <c r="F15" s="2">
        <v>347.85779143365198</v>
      </c>
      <c r="G15" s="2">
        <f>15*Table24[[#This Row],[Muzzle Energy (ft-lbf)]]</f>
        <v>5217.8668715047797</v>
      </c>
    </row>
    <row r="16" spans="1:12" x14ac:dyDescent="0.25">
      <c r="A16" t="s">
        <v>92</v>
      </c>
      <c r="B16">
        <v>60</v>
      </c>
      <c r="C16">
        <v>12.4</v>
      </c>
      <c r="D16">
        <v>0.4</v>
      </c>
      <c r="E16" s="2">
        <v>1846</v>
      </c>
      <c r="F16" s="2">
        <v>453.92132529077298</v>
      </c>
      <c r="G16" s="2">
        <f>15*Table24[[#This Row],[Muzzle Energy (ft-lbf)]]</f>
        <v>6808.8198793615948</v>
      </c>
    </row>
    <row r="17" spans="1:7" x14ac:dyDescent="0.25">
      <c r="A17" t="s">
        <v>93</v>
      </c>
      <c r="B17">
        <v>130</v>
      </c>
      <c r="C17">
        <v>17.600000000000001</v>
      </c>
      <c r="D17">
        <v>0.53</v>
      </c>
      <c r="E17" s="2">
        <v>1074</v>
      </c>
      <c r="F17" s="2">
        <v>332.90311408698602</v>
      </c>
      <c r="G17" s="2">
        <f>15*Table24[[#This Row],[Muzzle Energy (ft-lbf)]]</f>
        <v>4993.5467113047907</v>
      </c>
    </row>
    <row r="18" spans="1:7" x14ac:dyDescent="0.25">
      <c r="A18" t="s">
        <v>94</v>
      </c>
      <c r="B18">
        <v>155</v>
      </c>
      <c r="C18">
        <v>28.8</v>
      </c>
      <c r="D18">
        <v>0.43</v>
      </c>
      <c r="E18" s="2">
        <v>1083</v>
      </c>
      <c r="F18" s="2">
        <v>403.60315649025199</v>
      </c>
      <c r="G18" s="2">
        <f>15*Table24[[#This Row],[Muzzle Energy (ft-lbf)]]</f>
        <v>6054.0473473537795</v>
      </c>
    </row>
    <row r="19" spans="1:7" x14ac:dyDescent="0.25">
      <c r="A19" t="s">
        <v>95</v>
      </c>
      <c r="B19">
        <v>180</v>
      </c>
      <c r="C19">
        <v>16.3</v>
      </c>
      <c r="D19">
        <v>0.65</v>
      </c>
      <c r="E19" s="2">
        <v>925</v>
      </c>
      <c r="F19" s="2">
        <v>341.91795967027502</v>
      </c>
      <c r="G19" s="2">
        <f>15*Table24[[#This Row],[Muzzle Energy (ft-lbf)]]</f>
        <v>5128.7693950541252</v>
      </c>
    </row>
    <row r="20" spans="1:7" x14ac:dyDescent="0.25">
      <c r="A20" t="s">
        <v>96</v>
      </c>
      <c r="B20">
        <v>180</v>
      </c>
      <c r="C20">
        <v>28.4</v>
      </c>
      <c r="D20">
        <v>0.4</v>
      </c>
      <c r="E20" s="2">
        <v>929</v>
      </c>
      <c r="F20" s="2">
        <v>344.88148176104499</v>
      </c>
      <c r="G20" s="2">
        <f>15*Table24[[#This Row],[Muzzle Energy (ft-lbf)]]</f>
        <v>5173.2222264156753</v>
      </c>
    </row>
    <row r="21" spans="1:7" x14ac:dyDescent="0.25">
      <c r="A21" t="s">
        <v>97</v>
      </c>
      <c r="B21">
        <v>180</v>
      </c>
      <c r="C21">
        <v>30</v>
      </c>
      <c r="D21">
        <v>0.4</v>
      </c>
      <c r="E21" s="2">
        <v>830</v>
      </c>
      <c r="F21" s="2">
        <v>275.292660238834</v>
      </c>
      <c r="G21" s="2">
        <f>15*Table24[[#This Row],[Muzzle Energy (ft-lbf)]]</f>
        <v>4129.3899035825098</v>
      </c>
    </row>
    <row r="22" spans="1:7" x14ac:dyDescent="0.25">
      <c r="A22" t="s">
        <v>98</v>
      </c>
      <c r="B22">
        <v>155</v>
      </c>
      <c r="C22">
        <v>32</v>
      </c>
      <c r="D22">
        <v>0.4</v>
      </c>
      <c r="E22" s="2">
        <v>1075</v>
      </c>
      <c r="F22" s="2">
        <v>397.66243670035902</v>
      </c>
      <c r="G22" s="2">
        <f>15*Table24[[#This Row],[Muzzle Energy (ft-lbf)]]</f>
        <v>5964.9365505053856</v>
      </c>
    </row>
    <row r="23" spans="1:7" x14ac:dyDescent="0.25">
      <c r="A23" t="s">
        <v>99</v>
      </c>
      <c r="B23">
        <v>165</v>
      </c>
      <c r="C23">
        <v>19.600000000000001</v>
      </c>
      <c r="D23">
        <v>0.66</v>
      </c>
      <c r="E23" s="2">
        <v>1113</v>
      </c>
      <c r="F23" s="2">
        <v>453.77463441058302</v>
      </c>
      <c r="G23" s="2">
        <f>15*Table24[[#This Row],[Muzzle Energy (ft-lbf)]]</f>
        <v>6806.6195161587457</v>
      </c>
    </row>
    <row r="24" spans="1:7" x14ac:dyDescent="0.25">
      <c r="A24" t="s">
        <v>99</v>
      </c>
      <c r="B24">
        <v>165</v>
      </c>
      <c r="C24">
        <v>19.2</v>
      </c>
      <c r="D24">
        <v>0.68</v>
      </c>
      <c r="E24" s="2">
        <v>1025</v>
      </c>
      <c r="F24" s="2">
        <v>384.85542928311799</v>
      </c>
      <c r="G24" s="2">
        <f>15*Table24[[#This Row],[Muzzle Energy (ft-lbf)]]</f>
        <v>5772.8314392467701</v>
      </c>
    </row>
    <row r="25" spans="1:7" x14ac:dyDescent="0.25">
      <c r="A25" t="s">
        <v>100</v>
      </c>
      <c r="B25">
        <v>180</v>
      </c>
      <c r="C25">
        <v>13.8</v>
      </c>
      <c r="D25">
        <v>0.82</v>
      </c>
      <c r="E25" s="2">
        <v>924</v>
      </c>
      <c r="F25" s="2">
        <v>341.17907720724497</v>
      </c>
      <c r="G25" s="2">
        <f>15*Table24[[#This Row],[Muzzle Energy (ft-lbf)]]</f>
        <v>5117.6861581086741</v>
      </c>
    </row>
    <row r="26" spans="1:7" x14ac:dyDescent="0.25">
      <c r="A26" t="s">
        <v>101</v>
      </c>
      <c r="B26">
        <v>180</v>
      </c>
      <c r="C26">
        <v>13.8</v>
      </c>
      <c r="D26">
        <v>0.78</v>
      </c>
      <c r="E26" s="2">
        <v>948</v>
      </c>
      <c r="F26" s="2">
        <v>359.13284210666501</v>
      </c>
      <c r="G26" s="2">
        <f>15*Table24[[#This Row],[Muzzle Energy (ft-lbf)]]</f>
        <v>5386.9926315999755</v>
      </c>
    </row>
    <row r="27" spans="1:7" x14ac:dyDescent="0.25">
      <c r="A27" t="s">
        <v>102</v>
      </c>
      <c r="B27">
        <v>180</v>
      </c>
      <c r="C27">
        <v>32</v>
      </c>
      <c r="D27">
        <v>0.4</v>
      </c>
      <c r="E27" s="2">
        <v>922</v>
      </c>
      <c r="F27" s="2">
        <v>339.70370995277898</v>
      </c>
      <c r="G27" s="2">
        <f>15*Table24[[#This Row],[Muzzle Energy (ft-lbf)]]</f>
        <v>5095.5556492916849</v>
      </c>
    </row>
    <row r="28" spans="1:7" x14ac:dyDescent="0.25">
      <c r="A28" t="s">
        <v>103</v>
      </c>
      <c r="B28">
        <v>180</v>
      </c>
      <c r="C28">
        <v>15.5</v>
      </c>
      <c r="D28">
        <v>0.79</v>
      </c>
      <c r="E28" s="2">
        <v>977</v>
      </c>
      <c r="F28" s="2">
        <v>381.44117823358198</v>
      </c>
      <c r="G28" s="2">
        <f>15*Table24[[#This Row],[Muzzle Energy (ft-lbf)]]</f>
        <v>5721.6176735037297</v>
      </c>
    </row>
    <row r="29" spans="1:7" x14ac:dyDescent="0.25">
      <c r="A29" t="s">
        <v>104</v>
      </c>
      <c r="B29">
        <v>165</v>
      </c>
      <c r="C29">
        <v>20.2</v>
      </c>
      <c r="D29">
        <v>0.56999999999999995</v>
      </c>
      <c r="E29" s="2">
        <v>1014</v>
      </c>
      <c r="F29" s="2">
        <v>376.63944125371501</v>
      </c>
      <c r="G29" s="2">
        <f>15*Table24[[#This Row],[Muzzle Energy (ft-lbf)]]</f>
        <v>5649.5916188057254</v>
      </c>
    </row>
    <row r="30" spans="1:7" x14ac:dyDescent="0.25">
      <c r="A30" t="s">
        <v>105</v>
      </c>
      <c r="B30">
        <v>155</v>
      </c>
      <c r="C30">
        <v>16.3</v>
      </c>
      <c r="D30">
        <v>0.67</v>
      </c>
      <c r="E30" s="2">
        <v>1117</v>
      </c>
      <c r="F30" s="2">
        <v>429.34260507018701</v>
      </c>
      <c r="G30" s="2">
        <f>15*Table24[[#This Row],[Muzzle Energy (ft-lbf)]]</f>
        <v>6440.1390760528047</v>
      </c>
    </row>
    <row r="31" spans="1:7" x14ac:dyDescent="0.25">
      <c r="A31" t="s">
        <v>106</v>
      </c>
      <c r="B31">
        <v>165</v>
      </c>
      <c r="C31">
        <v>27.1</v>
      </c>
      <c r="D31">
        <v>0.4</v>
      </c>
      <c r="E31" s="2">
        <v>945</v>
      </c>
      <c r="F31" s="2">
        <v>327.12482544728698</v>
      </c>
      <c r="G31" s="2">
        <f>15*Table24[[#This Row],[Muzzle Energy (ft-lbf)]]</f>
        <v>4906.872381709305</v>
      </c>
    </row>
    <row r="32" spans="1:7" x14ac:dyDescent="0.25">
      <c r="A32" t="s">
        <v>107</v>
      </c>
      <c r="B32">
        <v>180</v>
      </c>
      <c r="C32">
        <v>14.5</v>
      </c>
      <c r="D32">
        <v>0.65</v>
      </c>
      <c r="E32" s="2">
        <v>955</v>
      </c>
      <c r="F32" s="2">
        <v>364.45607265832899</v>
      </c>
      <c r="G32" s="2">
        <f>15*Table24[[#This Row],[Muzzle Energy (ft-lbf)]]</f>
        <v>5466.8410898749353</v>
      </c>
    </row>
    <row r="33" spans="1:7" x14ac:dyDescent="0.25">
      <c r="A33" t="s">
        <v>108</v>
      </c>
      <c r="B33">
        <v>180</v>
      </c>
      <c r="C33">
        <v>12.3</v>
      </c>
      <c r="D33">
        <v>0.64</v>
      </c>
      <c r="E33" s="2">
        <v>979</v>
      </c>
      <c r="F33" s="2">
        <v>383.00446011317899</v>
      </c>
      <c r="G33" s="2">
        <f>15*Table24[[#This Row],[Muzzle Energy (ft-lbf)]]</f>
        <v>5745.0669016976844</v>
      </c>
    </row>
    <row r="34" spans="1:7" x14ac:dyDescent="0.25">
      <c r="A34" t="s">
        <v>109</v>
      </c>
      <c r="B34">
        <v>165</v>
      </c>
      <c r="C34">
        <v>14.6</v>
      </c>
      <c r="D34">
        <v>0.74</v>
      </c>
      <c r="E34" s="2">
        <v>1066</v>
      </c>
      <c r="F34" s="2">
        <v>416.25963231262</v>
      </c>
      <c r="G34" s="2">
        <f>15*Table24[[#This Row],[Muzzle Energy (ft-lbf)]]</f>
        <v>6243.8944846893</v>
      </c>
    </row>
    <row r="35" spans="1:7" x14ac:dyDescent="0.25">
      <c r="A35" t="s">
        <v>110</v>
      </c>
      <c r="B35">
        <v>165</v>
      </c>
      <c r="C35">
        <v>14.7</v>
      </c>
      <c r="D35">
        <v>0.77</v>
      </c>
      <c r="E35" s="2">
        <v>1098</v>
      </c>
      <c r="F35" s="2">
        <v>441.62593215033399</v>
      </c>
      <c r="G35" s="2">
        <f>15*Table24[[#This Row],[Muzzle Energy (ft-lbf)]]</f>
        <v>6624.38898225501</v>
      </c>
    </row>
    <row r="36" spans="1:7" x14ac:dyDescent="0.25">
      <c r="A36" t="s">
        <v>111</v>
      </c>
      <c r="B36">
        <v>165</v>
      </c>
      <c r="C36">
        <v>21</v>
      </c>
      <c r="D36">
        <v>0.67</v>
      </c>
      <c r="E36" s="2">
        <v>1071</v>
      </c>
      <c r="F36" s="2">
        <v>420.17366468562699</v>
      </c>
      <c r="G36" s="2">
        <f>15*Table24[[#This Row],[Muzzle Energy (ft-lbf)]]</f>
        <v>6302.6049702844048</v>
      </c>
    </row>
    <row r="37" spans="1:7" x14ac:dyDescent="0.25">
      <c r="A37" t="s">
        <v>112</v>
      </c>
      <c r="B37">
        <v>180</v>
      </c>
      <c r="C37">
        <v>16.5</v>
      </c>
      <c r="D37">
        <v>0.71</v>
      </c>
      <c r="E37" s="2">
        <v>995</v>
      </c>
      <c r="F37" s="2">
        <v>395.625803386489</v>
      </c>
      <c r="G37" s="2">
        <f>15*Table24[[#This Row],[Muzzle Energy (ft-lbf)]]</f>
        <v>5934.3870507973352</v>
      </c>
    </row>
    <row r="38" spans="1:7" x14ac:dyDescent="0.25">
      <c r="A38" t="s">
        <v>113</v>
      </c>
      <c r="B38">
        <v>180</v>
      </c>
      <c r="C38">
        <v>14.7</v>
      </c>
      <c r="D38">
        <v>0.7</v>
      </c>
      <c r="E38" s="2">
        <v>920</v>
      </c>
      <c r="F38" s="2">
        <v>338.23153959377203</v>
      </c>
      <c r="G38" s="2">
        <f>15*Table24[[#This Row],[Muzzle Energy (ft-lbf)]]</f>
        <v>5073.4730939065803</v>
      </c>
    </row>
    <row r="39" spans="1:7" x14ac:dyDescent="0.25">
      <c r="A39" t="s">
        <v>114</v>
      </c>
      <c r="B39">
        <v>180</v>
      </c>
      <c r="C39">
        <v>16.899999999999999</v>
      </c>
      <c r="D39">
        <v>0.72</v>
      </c>
      <c r="E39" s="2">
        <v>930</v>
      </c>
      <c r="F39" s="2">
        <v>345.62436034339902</v>
      </c>
      <c r="G39" s="2">
        <f>15*Table24[[#This Row],[Muzzle Energy (ft-lbf)]]</f>
        <v>5184.3654051509857</v>
      </c>
    </row>
    <row r="40" spans="1:7" x14ac:dyDescent="0.25">
      <c r="A40" t="s">
        <v>115</v>
      </c>
      <c r="B40">
        <v>180</v>
      </c>
      <c r="C40">
        <v>16.2</v>
      </c>
      <c r="D40">
        <v>0.7</v>
      </c>
      <c r="E40" s="2">
        <v>949</v>
      </c>
      <c r="F40" s="2">
        <v>359.89090594245101</v>
      </c>
      <c r="G40" s="2">
        <f>15*Table24[[#This Row],[Muzzle Energy (ft-lbf)]]</f>
        <v>5398.3635891367649</v>
      </c>
    </row>
    <row r="41" spans="1:7" x14ac:dyDescent="0.25">
      <c r="A41" t="s">
        <v>116</v>
      </c>
      <c r="B41">
        <v>180</v>
      </c>
      <c r="C41">
        <v>14.7</v>
      </c>
      <c r="D41">
        <v>0.75</v>
      </c>
      <c r="E41" s="2">
        <v>890</v>
      </c>
      <c r="F41" s="2">
        <v>316.532611663784</v>
      </c>
      <c r="G41" s="2">
        <f>15*Table24[[#This Row],[Muzzle Energy (ft-lbf)]]</f>
        <v>4747.9891749567596</v>
      </c>
    </row>
    <row r="42" spans="1:7" x14ac:dyDescent="0.25">
      <c r="F42" s="2"/>
    </row>
    <row r="43" spans="1:7" x14ac:dyDescent="0.25">
      <c r="F43" s="2"/>
    </row>
    <row r="44" spans="1:7" x14ac:dyDescent="0.25">
      <c r="F44" s="2"/>
    </row>
    <row r="45" spans="1:7" x14ac:dyDescent="0.25">
      <c r="F45" s="2"/>
    </row>
    <row r="46" spans="1:7" x14ac:dyDescent="0.25">
      <c r="F46" s="2"/>
    </row>
    <row r="47" spans="1:7" x14ac:dyDescent="0.25">
      <c r="F47" s="2"/>
    </row>
    <row r="48" spans="1:7" x14ac:dyDescent="0.25">
      <c r="F48" s="2"/>
    </row>
    <row r="49" spans="6:6" x14ac:dyDescent="0.25">
      <c r="F49" s="2"/>
    </row>
    <row r="50" spans="6:6" x14ac:dyDescent="0.25">
      <c r="F50" s="2"/>
    </row>
    <row r="51" spans="6:6" x14ac:dyDescent="0.25">
      <c r="F51" s="2"/>
    </row>
    <row r="52" spans="6:6" x14ac:dyDescent="0.25">
      <c r="F52" s="2"/>
    </row>
    <row r="53" spans="6:6" x14ac:dyDescent="0.25">
      <c r="F53" s="2"/>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05D34-6E4E-4052-B826-674EA9EBAFDE}">
  <dimension ref="A1:L10"/>
  <sheetViews>
    <sheetView workbookViewId="0">
      <selection activeCell="K27" sqref="K27"/>
    </sheetView>
  </sheetViews>
  <sheetFormatPr defaultRowHeight="15" x14ac:dyDescent="0.25"/>
  <cols>
    <col min="1" max="1" width="36.140625" bestFit="1" customWidth="1"/>
    <col min="2" max="2" width="13.140625" customWidth="1"/>
    <col min="3" max="3" width="27.5703125" customWidth="1"/>
    <col min="4" max="4" width="20.28515625" customWidth="1"/>
    <col min="5" max="5" width="21.7109375" customWidth="1"/>
    <col min="6" max="6" width="22.28515625" customWidth="1"/>
    <col min="7" max="7" width="31.5703125" customWidth="1"/>
    <col min="9" max="9" width="17.7109375" bestFit="1" customWidth="1"/>
    <col min="10" max="10" width="15.28515625" bestFit="1" customWidth="1"/>
    <col min="11" max="11" width="20.7109375" bestFit="1" customWidth="1"/>
    <col min="12" max="12" width="18.7109375" bestFit="1" customWidth="1"/>
  </cols>
  <sheetData>
    <row r="1" spans="1:12" x14ac:dyDescent="0.25">
      <c r="A1" s="8" t="s">
        <v>20</v>
      </c>
      <c r="B1" s="8" t="s">
        <v>21</v>
      </c>
      <c r="C1" s="8" t="s">
        <v>22</v>
      </c>
      <c r="D1" s="8" t="s">
        <v>23</v>
      </c>
      <c r="E1" s="8" t="s">
        <v>24</v>
      </c>
      <c r="F1" s="9" t="s">
        <v>25</v>
      </c>
      <c r="G1" s="8" t="s">
        <v>160</v>
      </c>
    </row>
    <row r="2" spans="1:12" x14ac:dyDescent="0.25">
      <c r="A2" s="5" t="s">
        <v>117</v>
      </c>
      <c r="B2" s="5">
        <v>125</v>
      </c>
      <c r="C2" s="5">
        <v>18</v>
      </c>
      <c r="D2" s="6">
        <v>0.61</v>
      </c>
      <c r="E2" s="7">
        <v>1387</v>
      </c>
      <c r="F2" s="2">
        <v>533.86183861450104</v>
      </c>
      <c r="G2" s="2">
        <f>15*Table4[[#This Row],[Muzzle Energy (ft-lbf)]]</f>
        <v>8007.9275792175158</v>
      </c>
      <c r="I2" t="s">
        <v>170</v>
      </c>
      <c r="J2" t="s">
        <v>171</v>
      </c>
      <c r="K2" t="s">
        <v>172</v>
      </c>
      <c r="L2" t="s">
        <v>173</v>
      </c>
    </row>
    <row r="3" spans="1:12" x14ac:dyDescent="0.25">
      <c r="A3" s="5" t="s">
        <v>118</v>
      </c>
      <c r="B3" s="5">
        <v>125</v>
      </c>
      <c r="C3" s="5">
        <v>22.4</v>
      </c>
      <c r="D3" s="6">
        <v>0.52</v>
      </c>
      <c r="E3" s="7">
        <v>1368</v>
      </c>
      <c r="F3" s="2">
        <v>519.33566736302703</v>
      </c>
      <c r="G3" s="2">
        <f>15*Table4[[#This Row],[Muzzle Energy (ft-lbf)]]</f>
        <v>7790.0350104454055</v>
      </c>
      <c r="I3">
        <f>AVERAGE(Table4[Expansion (inches)])</f>
        <v>0.58111111111111113</v>
      </c>
      <c r="J3">
        <f>AVERAGE(Table4[Muzzle Velocity (fps)])</f>
        <v>1349.8888888888889</v>
      </c>
      <c r="K3">
        <f>AVERAGE(Table4[Muzzle Energy (ft-lbf)])</f>
        <v>518.82720138689967</v>
      </c>
      <c r="L3">
        <f>AVERAGE(Table4[Penetration Depth (inches)])</f>
        <v>18.344444444444445</v>
      </c>
    </row>
    <row r="4" spans="1:12" x14ac:dyDescent="0.25">
      <c r="A4" s="5" t="s">
        <v>46</v>
      </c>
      <c r="B4" s="5">
        <v>135</v>
      </c>
      <c r="C4" s="5">
        <v>18.899999999999999</v>
      </c>
      <c r="D4" s="6">
        <v>0.47</v>
      </c>
      <c r="E4" s="7">
        <v>1222</v>
      </c>
      <c r="F4" s="2">
        <v>447.55057866027801</v>
      </c>
      <c r="G4" s="2">
        <f>15*Table4[[#This Row],[Muzzle Energy (ft-lbf)]]</f>
        <v>6713.2586799041701</v>
      </c>
    </row>
    <row r="5" spans="1:12" x14ac:dyDescent="0.25">
      <c r="A5" s="5" t="s">
        <v>119</v>
      </c>
      <c r="B5" s="5">
        <v>147</v>
      </c>
      <c r="C5" s="5">
        <v>23.9</v>
      </c>
      <c r="D5" s="6">
        <v>0.48</v>
      </c>
      <c r="E5" s="7">
        <v>1222</v>
      </c>
      <c r="F5" s="2">
        <v>487.33285231897003</v>
      </c>
      <c r="G5" s="2">
        <f>15*Table4[[#This Row],[Muzzle Energy (ft-lbf)]]</f>
        <v>7309.9927847845502</v>
      </c>
    </row>
    <row r="6" spans="1:12" x14ac:dyDescent="0.25">
      <c r="A6" s="5" t="s">
        <v>120</v>
      </c>
      <c r="B6" s="5">
        <v>125</v>
      </c>
      <c r="C6" s="5">
        <v>18.2</v>
      </c>
      <c r="D6" s="6">
        <v>0.59</v>
      </c>
      <c r="E6" s="7">
        <v>1369</v>
      </c>
      <c r="F6" s="2">
        <v>520.09520754289701</v>
      </c>
      <c r="G6" s="2">
        <f>15*Table4[[#This Row],[Muzzle Energy (ft-lbf)]]</f>
        <v>7801.4281131434554</v>
      </c>
    </row>
    <row r="7" spans="1:12" x14ac:dyDescent="0.25">
      <c r="A7" s="5" t="s">
        <v>121</v>
      </c>
      <c r="B7" s="5">
        <v>125</v>
      </c>
      <c r="C7" s="5">
        <v>19.7</v>
      </c>
      <c r="D7" s="6">
        <v>0.57999999999999996</v>
      </c>
      <c r="E7" s="7">
        <v>1388</v>
      </c>
      <c r="F7" s="2">
        <v>534.63192410925296</v>
      </c>
      <c r="G7" s="2">
        <f>15*Table4[[#This Row],[Muzzle Energy (ft-lbf)]]</f>
        <v>8019.4788616387941</v>
      </c>
    </row>
    <row r="8" spans="1:12" x14ac:dyDescent="0.25">
      <c r="A8" s="5" t="s">
        <v>122</v>
      </c>
      <c r="B8" s="5">
        <v>125</v>
      </c>
      <c r="C8" s="5">
        <v>15.4</v>
      </c>
      <c r="D8" s="6">
        <v>0.62</v>
      </c>
      <c r="E8" s="7">
        <v>1395</v>
      </c>
      <c r="F8" s="2">
        <v>540.03806303656199</v>
      </c>
      <c r="G8" s="2">
        <f>15*Table4[[#This Row],[Muzzle Energy (ft-lbf)]]</f>
        <v>8100.5709455484302</v>
      </c>
    </row>
    <row r="9" spans="1:12" x14ac:dyDescent="0.25">
      <c r="A9" s="5" t="s">
        <v>123</v>
      </c>
      <c r="B9" s="5">
        <v>125</v>
      </c>
      <c r="C9" s="5">
        <v>13.2</v>
      </c>
      <c r="D9" s="6">
        <v>0.67</v>
      </c>
      <c r="E9" s="7">
        <v>1375</v>
      </c>
      <c r="F9" s="2">
        <v>524.66410397014397</v>
      </c>
      <c r="G9" s="2">
        <f>15*Table4[[#This Row],[Muzzle Energy (ft-lbf)]]</f>
        <v>7869.9615595521591</v>
      </c>
    </row>
    <row r="10" spans="1:12" x14ac:dyDescent="0.25">
      <c r="A10" s="5" t="s">
        <v>124</v>
      </c>
      <c r="B10" s="5">
        <v>125</v>
      </c>
      <c r="C10" s="5">
        <v>15.4</v>
      </c>
      <c r="D10" s="6">
        <v>0.69</v>
      </c>
      <c r="E10" s="7">
        <v>1423</v>
      </c>
      <c r="F10" s="2">
        <v>561.93457686646502</v>
      </c>
      <c r="G10" s="2">
        <f>15*Table4[[#This Row],[Muzzle Energy (ft-lbf)]]</f>
        <v>8429.018652996976</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04FF6-DF1F-4177-99F9-A5C1EF1982D7}">
  <dimension ref="A1:L36"/>
  <sheetViews>
    <sheetView workbookViewId="0">
      <selection activeCell="L4" sqref="L4"/>
    </sheetView>
  </sheetViews>
  <sheetFormatPr defaultRowHeight="15" x14ac:dyDescent="0.25"/>
  <cols>
    <col min="1" max="1" width="35.7109375" bestFit="1" customWidth="1"/>
    <col min="2" max="2" width="13.28515625" bestFit="1" customWidth="1"/>
    <col min="3" max="3" width="28.28515625" bestFit="1" customWidth="1"/>
    <col min="4" max="4" width="20.7109375" bestFit="1" customWidth="1"/>
    <col min="5" max="5" width="22.140625" bestFit="1" customWidth="1"/>
    <col min="6" max="6" width="22.7109375" bestFit="1" customWidth="1"/>
    <col min="7" max="7" width="37.140625" customWidth="1"/>
    <col min="9" max="9" width="17.7109375" bestFit="1" customWidth="1"/>
    <col min="10" max="10" width="15.28515625" bestFit="1" customWidth="1"/>
    <col min="11" max="11" width="20.7109375" bestFit="1" customWidth="1"/>
    <col min="12" max="12" width="18.7109375" bestFit="1" customWidth="1"/>
  </cols>
  <sheetData>
    <row r="1" spans="1:12" x14ac:dyDescent="0.25">
      <c r="A1" s="8" t="s">
        <v>20</v>
      </c>
      <c r="B1" s="8" t="s">
        <v>21</v>
      </c>
      <c r="C1" s="8" t="s">
        <v>22</v>
      </c>
      <c r="D1" s="8" t="s">
        <v>23</v>
      </c>
      <c r="E1" s="8" t="s">
        <v>24</v>
      </c>
      <c r="F1" s="9" t="s">
        <v>25</v>
      </c>
      <c r="G1" s="8" t="s">
        <v>159</v>
      </c>
    </row>
    <row r="2" spans="1:12" x14ac:dyDescent="0.25">
      <c r="A2" s="5" t="s">
        <v>125</v>
      </c>
      <c r="B2" s="5">
        <v>185</v>
      </c>
      <c r="C2" s="5">
        <v>13.8</v>
      </c>
      <c r="D2" s="7">
        <v>0.65</v>
      </c>
      <c r="E2" s="2">
        <v>908</v>
      </c>
      <c r="F2" s="2">
        <v>338.61747591783001</v>
      </c>
      <c r="G2" s="2">
        <f>13*Table46[[#This Row],[Muzzle Energy (ft-lbf)]]</f>
        <v>4402.0271869317903</v>
      </c>
      <c r="I2" t="s">
        <v>170</v>
      </c>
      <c r="J2" t="s">
        <v>171</v>
      </c>
      <c r="K2" t="s">
        <v>172</v>
      </c>
      <c r="L2" t="s">
        <v>173</v>
      </c>
    </row>
    <row r="3" spans="1:12" x14ac:dyDescent="0.25">
      <c r="A3" s="5" t="s">
        <v>126</v>
      </c>
      <c r="B3" s="5">
        <v>165</v>
      </c>
      <c r="C3" s="5">
        <v>9.1999999999999993</v>
      </c>
      <c r="D3" s="7">
        <v>0.73</v>
      </c>
      <c r="E3" s="2">
        <v>952</v>
      </c>
      <c r="F3" s="2">
        <v>331.98906839358199</v>
      </c>
      <c r="G3" s="2">
        <f>13*Table46[[#This Row],[Muzzle Energy (ft-lbf)]]</f>
        <v>4315.8578891165662</v>
      </c>
      <c r="I3">
        <f>AVERAGE(Table46[Expansion (inches)])</f>
        <v>0.62657142857142833</v>
      </c>
      <c r="J3">
        <f>AVERAGE(Table46[Muzzle Velocity (fps)])</f>
        <v>905.91428571428571</v>
      </c>
      <c r="K3">
        <f>AVERAGE(Table46[Muzzle Energy (ft-lbf)])</f>
        <v>365.17938598675079</v>
      </c>
      <c r="L3">
        <f>AVERAGE(Table46[Penetration Depth (inches)])</f>
        <v>18.362857142857141</v>
      </c>
    </row>
    <row r="4" spans="1:12" x14ac:dyDescent="0.25">
      <c r="A4" s="5" t="s">
        <v>83</v>
      </c>
      <c r="B4" s="5">
        <v>165</v>
      </c>
      <c r="C4" s="5">
        <v>13.9</v>
      </c>
      <c r="D4" s="7">
        <v>0.65</v>
      </c>
      <c r="E4" s="2">
        <v>918</v>
      </c>
      <c r="F4" s="2">
        <v>308.69901895270499</v>
      </c>
      <c r="G4" s="2">
        <f>13*Table46[[#This Row],[Muzzle Energy (ft-lbf)]]</f>
        <v>4013.0872463851647</v>
      </c>
    </row>
    <row r="5" spans="1:12" x14ac:dyDescent="0.25">
      <c r="A5" s="5" t="s">
        <v>127</v>
      </c>
      <c r="B5" s="5">
        <v>185</v>
      </c>
      <c r="C5" s="5">
        <v>18.8</v>
      </c>
      <c r="D5" s="7">
        <v>0.59</v>
      </c>
      <c r="E5" s="2">
        <v>1002</v>
      </c>
      <c r="F5" s="2">
        <v>412.35675577272701</v>
      </c>
      <c r="G5" s="2">
        <f>13*Table46[[#This Row],[Muzzle Energy (ft-lbf)]]</f>
        <v>5360.6378250454509</v>
      </c>
    </row>
    <row r="6" spans="1:12" x14ac:dyDescent="0.25">
      <c r="A6" s="5" t="s">
        <v>128</v>
      </c>
      <c r="B6" s="5">
        <v>230</v>
      </c>
      <c r="C6" s="5">
        <v>14</v>
      </c>
      <c r="D6" s="7">
        <v>0.85</v>
      </c>
      <c r="E6" s="2">
        <v>822</v>
      </c>
      <c r="F6" s="2">
        <v>345.01455253453798</v>
      </c>
      <c r="G6" s="2">
        <f>13*Table46[[#This Row],[Muzzle Energy (ft-lbf)]]</f>
        <v>4485.1891829489941</v>
      </c>
    </row>
    <row r="7" spans="1:12" x14ac:dyDescent="0.25">
      <c r="A7" s="5" t="s">
        <v>129</v>
      </c>
      <c r="B7" s="5">
        <v>230</v>
      </c>
      <c r="C7" s="5">
        <v>14.9</v>
      </c>
      <c r="D7" s="7">
        <v>0.79</v>
      </c>
      <c r="E7" s="2">
        <v>844</v>
      </c>
      <c r="F7" s="2">
        <v>363.72962256652897</v>
      </c>
      <c r="G7" s="2">
        <f>13*Table46[[#This Row],[Muzzle Energy (ft-lbf)]]</f>
        <v>4728.4850933648768</v>
      </c>
    </row>
    <row r="8" spans="1:12" x14ac:dyDescent="0.25">
      <c r="A8" s="5" t="s">
        <v>130</v>
      </c>
      <c r="B8" s="5">
        <v>230</v>
      </c>
      <c r="C8" s="5">
        <v>22.2</v>
      </c>
      <c r="D8" s="7">
        <v>0.45</v>
      </c>
      <c r="E8" s="2">
        <v>794</v>
      </c>
      <c r="F8" s="2">
        <v>321.91023383958202</v>
      </c>
      <c r="G8" s="2">
        <f>13*Table46[[#This Row],[Muzzle Energy (ft-lbf)]]</f>
        <v>4184.8330399145661</v>
      </c>
    </row>
    <row r="9" spans="1:12" x14ac:dyDescent="0.25">
      <c r="A9" s="5" t="s">
        <v>131</v>
      </c>
      <c r="B9" s="5">
        <v>230</v>
      </c>
      <c r="C9" s="5">
        <v>14.6</v>
      </c>
      <c r="D9" s="7">
        <v>0.86</v>
      </c>
      <c r="E9" s="2">
        <v>887</v>
      </c>
      <c r="F9" s="2">
        <v>401.736247244342</v>
      </c>
      <c r="G9" s="2">
        <f>13*Table46[[#This Row],[Muzzle Energy (ft-lbf)]]</f>
        <v>5222.5712141764461</v>
      </c>
    </row>
    <row r="10" spans="1:12" x14ac:dyDescent="0.25">
      <c r="A10" s="5" t="s">
        <v>132</v>
      </c>
      <c r="B10" s="5">
        <v>230</v>
      </c>
      <c r="C10" s="5">
        <v>17.399999999999999</v>
      </c>
      <c r="D10" s="7">
        <v>0.56999999999999995</v>
      </c>
      <c r="E10" s="2">
        <v>817</v>
      </c>
      <c r="F10" s="2">
        <v>340.83006058560898</v>
      </c>
      <c r="G10" s="2">
        <f>13*Table46[[#This Row],[Muzzle Energy (ft-lbf)]]</f>
        <v>4430.7907876129166</v>
      </c>
    </row>
    <row r="11" spans="1:12" x14ac:dyDescent="0.25">
      <c r="A11" s="5" t="s">
        <v>133</v>
      </c>
      <c r="B11" s="5">
        <v>185</v>
      </c>
      <c r="C11" s="5">
        <v>17.600000000000001</v>
      </c>
      <c r="D11" s="7">
        <v>0.59</v>
      </c>
      <c r="E11" s="2">
        <v>941</v>
      </c>
      <c r="F11" s="2">
        <v>363.677906122276</v>
      </c>
      <c r="G11" s="2">
        <f>13*Table46[[#This Row],[Muzzle Energy (ft-lbf)]]</f>
        <v>4727.812779589588</v>
      </c>
    </row>
    <row r="12" spans="1:12" x14ac:dyDescent="0.25">
      <c r="A12" t="s">
        <v>134</v>
      </c>
      <c r="B12">
        <v>185</v>
      </c>
      <c r="C12">
        <v>23.8</v>
      </c>
      <c r="D12" s="10">
        <v>0.46</v>
      </c>
      <c r="E12" s="2">
        <v>914</v>
      </c>
      <c r="F12" s="2">
        <v>343.10738238643802</v>
      </c>
      <c r="G12" s="2">
        <f>13*Table46[[#This Row],[Muzzle Energy (ft-lbf)]]</f>
        <v>4460.3959710236941</v>
      </c>
    </row>
    <row r="13" spans="1:12" x14ac:dyDescent="0.25">
      <c r="A13" t="s">
        <v>135</v>
      </c>
      <c r="B13">
        <v>200</v>
      </c>
      <c r="C13">
        <v>18</v>
      </c>
      <c r="D13" s="10">
        <v>0.54</v>
      </c>
      <c r="E13" s="2">
        <v>863</v>
      </c>
      <c r="F13" s="2">
        <v>330.68731032308602</v>
      </c>
      <c r="G13" s="2">
        <f>13*Table46[[#This Row],[Muzzle Energy (ft-lbf)]]</f>
        <v>4298.935034200118</v>
      </c>
    </row>
    <row r="14" spans="1:12" x14ac:dyDescent="0.25">
      <c r="A14" t="s">
        <v>136</v>
      </c>
      <c r="B14">
        <v>200</v>
      </c>
      <c r="C14">
        <v>18.100000000000001</v>
      </c>
      <c r="D14" s="10">
        <v>0.59</v>
      </c>
      <c r="E14" s="2">
        <v>965</v>
      </c>
      <c r="F14" s="2">
        <v>413.476246400717</v>
      </c>
      <c r="G14" s="2">
        <f>13*Table46[[#This Row],[Muzzle Energy (ft-lbf)]]</f>
        <v>5375.1912032093214</v>
      </c>
    </row>
    <row r="15" spans="1:12" x14ac:dyDescent="0.25">
      <c r="A15" t="s">
        <v>137</v>
      </c>
      <c r="B15">
        <v>220</v>
      </c>
      <c r="C15">
        <v>21.3</v>
      </c>
      <c r="D15" s="10">
        <v>0.57999999999999996</v>
      </c>
      <c r="E15" s="2">
        <v>934</v>
      </c>
      <c r="F15" s="2">
        <v>426.07139289179099</v>
      </c>
      <c r="G15" s="2">
        <f>13*Table46[[#This Row],[Muzzle Energy (ft-lbf)]]</f>
        <v>5538.9281075932831</v>
      </c>
    </row>
    <row r="16" spans="1:12" x14ac:dyDescent="0.25">
      <c r="A16" t="s">
        <v>138</v>
      </c>
      <c r="B16">
        <v>230</v>
      </c>
      <c r="C16">
        <v>18.600000000000001</v>
      </c>
      <c r="D16" s="10">
        <v>0.6</v>
      </c>
      <c r="E16" s="2">
        <v>908</v>
      </c>
      <c r="F16" s="2">
        <v>420.98388897892403</v>
      </c>
      <c r="G16" s="2">
        <f>13*Table46[[#This Row],[Muzzle Energy (ft-lbf)]]</f>
        <v>5472.7905567260123</v>
      </c>
    </row>
    <row r="17" spans="1:7" x14ac:dyDescent="0.25">
      <c r="A17" t="s">
        <v>139</v>
      </c>
      <c r="B17">
        <v>78</v>
      </c>
      <c r="C17">
        <v>10.9</v>
      </c>
      <c r="D17" s="10">
        <v>0.47</v>
      </c>
      <c r="E17" s="2">
        <v>1844</v>
      </c>
      <c r="F17" s="2">
        <v>588.81976391814999</v>
      </c>
      <c r="G17" s="2">
        <f>13*Table46[[#This Row],[Muzzle Energy (ft-lbf)]]</f>
        <v>7654.6569309359502</v>
      </c>
    </row>
    <row r="18" spans="1:7" x14ac:dyDescent="0.25">
      <c r="A18" t="s">
        <v>140</v>
      </c>
      <c r="B18">
        <v>185</v>
      </c>
      <c r="C18">
        <v>29.4</v>
      </c>
      <c r="D18" s="10">
        <v>0.45</v>
      </c>
      <c r="E18" s="2">
        <v>1057</v>
      </c>
      <c r="F18" s="2">
        <v>458.86786609448097</v>
      </c>
      <c r="G18" s="2">
        <f>13*Table46[[#This Row],[Muzzle Energy (ft-lbf)]]</f>
        <v>5965.2822592282528</v>
      </c>
    </row>
    <row r="19" spans="1:7" x14ac:dyDescent="0.25">
      <c r="A19" t="s">
        <v>141</v>
      </c>
      <c r="B19">
        <v>230</v>
      </c>
      <c r="C19">
        <v>15.3</v>
      </c>
      <c r="D19" s="10">
        <v>0.73</v>
      </c>
      <c r="E19" s="2">
        <v>815</v>
      </c>
      <c r="F19" s="2">
        <v>339.16341241949402</v>
      </c>
      <c r="G19" s="2">
        <f>13*Table46[[#This Row],[Muzzle Energy (ft-lbf)]]</f>
        <v>4409.1243614534224</v>
      </c>
    </row>
    <row r="20" spans="1:7" x14ac:dyDescent="0.25">
      <c r="A20" t="s">
        <v>142</v>
      </c>
      <c r="B20">
        <v>230</v>
      </c>
      <c r="C20">
        <v>29.2</v>
      </c>
      <c r="D20" s="10">
        <v>0.45</v>
      </c>
      <c r="E20" s="2">
        <v>746</v>
      </c>
      <c r="F20" s="2">
        <v>284.16555478346498</v>
      </c>
      <c r="G20" s="2">
        <f>13*Table46[[#This Row],[Muzzle Energy (ft-lbf)]]</f>
        <v>3694.1522121850448</v>
      </c>
    </row>
    <row r="21" spans="1:7" x14ac:dyDescent="0.25">
      <c r="A21" t="s">
        <v>143</v>
      </c>
      <c r="B21">
        <v>185</v>
      </c>
      <c r="C21">
        <v>21.8</v>
      </c>
      <c r="D21" s="10">
        <v>0.45</v>
      </c>
      <c r="E21" s="2">
        <v>819</v>
      </c>
      <c r="F21" s="2">
        <v>275.48976882449699</v>
      </c>
      <c r="G21" s="2">
        <f>13*Table46[[#This Row],[Muzzle Energy (ft-lbf)]]</f>
        <v>3581.3669947184608</v>
      </c>
    </row>
    <row r="22" spans="1:7" x14ac:dyDescent="0.25">
      <c r="A22" t="s">
        <v>144</v>
      </c>
      <c r="B22">
        <v>185</v>
      </c>
      <c r="C22">
        <v>15.5</v>
      </c>
      <c r="D22" s="10">
        <v>0.75</v>
      </c>
      <c r="E22" s="2">
        <v>1019</v>
      </c>
      <c r="F22" s="2">
        <v>426.46759702244702</v>
      </c>
      <c r="G22" s="2">
        <f>13*Table46[[#This Row],[Muzzle Energy (ft-lbf)]]</f>
        <v>5544.0787612918111</v>
      </c>
    </row>
    <row r="23" spans="1:7" x14ac:dyDescent="0.25">
      <c r="A23" t="s">
        <v>145</v>
      </c>
      <c r="B23">
        <v>185</v>
      </c>
      <c r="C23">
        <v>22.6</v>
      </c>
      <c r="D23" s="10">
        <v>0.46</v>
      </c>
      <c r="E23" s="2">
        <v>934</v>
      </c>
      <c r="F23" s="2">
        <v>358.28730765900599</v>
      </c>
      <c r="G23" s="2">
        <f>13*Table46[[#This Row],[Muzzle Energy (ft-lbf)]]</f>
        <v>4657.7349995670775</v>
      </c>
    </row>
    <row r="24" spans="1:7" x14ac:dyDescent="0.25">
      <c r="A24" t="s">
        <v>146</v>
      </c>
      <c r="B24">
        <v>230</v>
      </c>
      <c r="C24">
        <v>16.3</v>
      </c>
      <c r="D24" s="10">
        <v>0.74</v>
      </c>
      <c r="E24" s="2">
        <v>724</v>
      </c>
      <c r="F24" s="2">
        <v>267.65225769641398</v>
      </c>
      <c r="G24" s="2">
        <f>13*Table46[[#This Row],[Muzzle Energy (ft-lbf)]]</f>
        <v>3479.4793500533819</v>
      </c>
    </row>
    <row r="25" spans="1:7" x14ac:dyDescent="0.25">
      <c r="A25" t="s">
        <v>147</v>
      </c>
      <c r="B25">
        <v>230</v>
      </c>
      <c r="C25">
        <v>18.2</v>
      </c>
      <c r="D25" s="10">
        <v>0.59</v>
      </c>
      <c r="E25" s="2">
        <v>814</v>
      </c>
      <c r="F25" s="2">
        <v>338.33162018217803</v>
      </c>
      <c r="G25" s="2">
        <f>13*Table46[[#This Row],[Muzzle Energy (ft-lbf)]]</f>
        <v>4398.3110623683142</v>
      </c>
    </row>
    <row r="26" spans="1:7" x14ac:dyDescent="0.25">
      <c r="A26" t="s">
        <v>148</v>
      </c>
      <c r="B26">
        <v>230</v>
      </c>
      <c r="C26">
        <v>20.7</v>
      </c>
      <c r="D26" s="10">
        <v>0.45</v>
      </c>
      <c r="E26" s="2">
        <v>805</v>
      </c>
      <c r="F26" s="2">
        <v>330.89144541856001</v>
      </c>
      <c r="G26" s="2">
        <f>13*Table46[[#This Row],[Muzzle Energy (ft-lbf)]]</f>
        <v>4301.5887904412803</v>
      </c>
    </row>
    <row r="27" spans="1:7" x14ac:dyDescent="0.25">
      <c r="A27" t="s">
        <v>149</v>
      </c>
      <c r="B27">
        <v>230</v>
      </c>
      <c r="C27">
        <v>23.9</v>
      </c>
      <c r="D27" s="10">
        <v>0.45</v>
      </c>
      <c r="E27" s="2">
        <v>767</v>
      </c>
      <c r="F27" s="2">
        <v>300.38933302548401</v>
      </c>
      <c r="G27" s="2">
        <f>13*Table46[[#This Row],[Muzzle Energy (ft-lbf)]]</f>
        <v>3905.0613293312922</v>
      </c>
    </row>
    <row r="28" spans="1:7" x14ac:dyDescent="0.25">
      <c r="A28" t="s">
        <v>150</v>
      </c>
      <c r="B28">
        <v>200</v>
      </c>
      <c r="C28">
        <v>31.2</v>
      </c>
      <c r="D28" s="10">
        <v>0.45</v>
      </c>
      <c r="E28" s="2">
        <v>871</v>
      </c>
      <c r="F28" s="2">
        <v>336.846662241334</v>
      </c>
      <c r="G28" s="2">
        <f>13*Table46[[#This Row],[Muzzle Energy (ft-lbf)]]</f>
        <v>4379.0066091373419</v>
      </c>
    </row>
    <row r="29" spans="1:7" x14ac:dyDescent="0.25">
      <c r="A29" t="s">
        <v>151</v>
      </c>
      <c r="B29">
        <v>185</v>
      </c>
      <c r="C29">
        <v>14.1</v>
      </c>
      <c r="D29" s="10">
        <v>0.72</v>
      </c>
      <c r="E29" s="2">
        <v>954</v>
      </c>
      <c r="F29" s="2">
        <v>373.79580274266903</v>
      </c>
      <c r="G29" s="2">
        <f>13*Table46[[#This Row],[Muzzle Energy (ft-lbf)]]</f>
        <v>4859.3454356546972</v>
      </c>
    </row>
    <row r="30" spans="1:7" x14ac:dyDescent="0.25">
      <c r="A30" t="s">
        <v>152</v>
      </c>
      <c r="B30">
        <v>200</v>
      </c>
      <c r="C30">
        <v>13.8</v>
      </c>
      <c r="D30" s="10">
        <v>0.7</v>
      </c>
      <c r="E30" s="2">
        <v>982</v>
      </c>
      <c r="F30" s="2">
        <v>428.17264123506698</v>
      </c>
      <c r="G30" s="2">
        <f>13*Table46[[#This Row],[Muzzle Energy (ft-lbf)]]</f>
        <v>5566.2443360558709</v>
      </c>
    </row>
    <row r="31" spans="1:7" x14ac:dyDescent="0.25">
      <c r="A31" t="s">
        <v>153</v>
      </c>
      <c r="B31">
        <v>230</v>
      </c>
      <c r="C31">
        <v>12.9</v>
      </c>
      <c r="D31" s="10">
        <v>0.71</v>
      </c>
      <c r="E31" s="2">
        <v>752</v>
      </c>
      <c r="F31" s="2">
        <v>288.75496462324298</v>
      </c>
      <c r="G31" s="2">
        <f>13*Table46[[#This Row],[Muzzle Energy (ft-lbf)]]</f>
        <v>3753.8145401021588</v>
      </c>
    </row>
    <row r="32" spans="1:7" x14ac:dyDescent="0.25">
      <c r="A32" t="s">
        <v>154</v>
      </c>
      <c r="B32">
        <v>230</v>
      </c>
      <c r="C32">
        <v>14.4</v>
      </c>
      <c r="D32" s="10">
        <v>0.7</v>
      </c>
      <c r="E32" s="2">
        <v>806</v>
      </c>
      <c r="F32" s="2">
        <v>331.71404658143001</v>
      </c>
      <c r="G32" s="2">
        <f>13*Table46[[#This Row],[Muzzle Energy (ft-lbf)]]</f>
        <v>4312.2826055585901</v>
      </c>
    </row>
    <row r="33" spans="1:7" x14ac:dyDescent="0.25">
      <c r="A33" t="s">
        <v>155</v>
      </c>
      <c r="B33">
        <v>230</v>
      </c>
      <c r="C33">
        <v>21.6</v>
      </c>
      <c r="D33" s="10">
        <v>0.61</v>
      </c>
      <c r="E33" s="2">
        <v>863</v>
      </c>
      <c r="F33" s="2">
        <v>380.29040687154901</v>
      </c>
      <c r="G33" s="2">
        <f>13*Table46[[#This Row],[Muzzle Energy (ft-lbf)]]</f>
        <v>4943.7752893301367</v>
      </c>
    </row>
    <row r="34" spans="1:7" x14ac:dyDescent="0.25">
      <c r="A34" t="s">
        <v>156</v>
      </c>
      <c r="B34">
        <v>230</v>
      </c>
      <c r="C34">
        <v>25.7</v>
      </c>
      <c r="D34" s="10">
        <v>0.56000000000000005</v>
      </c>
      <c r="E34" s="2">
        <v>862</v>
      </c>
      <c r="F34" s="2">
        <v>379.40959557052298</v>
      </c>
      <c r="G34" s="2">
        <f>13*Table46[[#This Row],[Muzzle Energy (ft-lbf)]]</f>
        <v>4932.3247424167985</v>
      </c>
    </row>
    <row r="35" spans="1:7" x14ac:dyDescent="0.25">
      <c r="A35" t="s">
        <v>157</v>
      </c>
      <c r="B35">
        <v>230</v>
      </c>
      <c r="C35">
        <v>14.5</v>
      </c>
      <c r="D35" s="10">
        <v>1</v>
      </c>
      <c r="E35" s="2">
        <v>900</v>
      </c>
      <c r="F35" s="2">
        <v>413.59835004673198</v>
      </c>
      <c r="G35" s="2">
        <f>13*Table46[[#This Row],[Muzzle Energy (ft-lbf)]]</f>
        <v>5376.7785506075161</v>
      </c>
    </row>
    <row r="36" spans="1:7" x14ac:dyDescent="0.25">
      <c r="A36" t="s">
        <v>158</v>
      </c>
      <c r="B36">
        <v>230</v>
      </c>
      <c r="C36">
        <v>14.5</v>
      </c>
      <c r="D36" s="10">
        <v>0.99</v>
      </c>
      <c r="E36" s="2">
        <v>904</v>
      </c>
      <c r="F36" s="2">
        <v>417.282949668877</v>
      </c>
      <c r="G36" s="2">
        <f>13*Table46[[#This Row],[Muzzle Energy (ft-lbf)]]</f>
        <v>5424.6783456954008</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Custom Results</vt:lpstr>
      <vt:lpstr>Unified Table</vt:lpstr>
      <vt:lpstr>.380 ACP</vt:lpstr>
      <vt:lpstr>9x19mm</vt:lpstr>
      <vt:lpstr>.40 S&amp;W</vt:lpstr>
      <vt:lpstr>.357 SIG</vt:lpstr>
      <vt:lpstr>.45 ACP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Anders Herzberg</dc:creator>
  <cp:lastModifiedBy>Anders Herzberg</cp:lastModifiedBy>
  <dcterms:created xsi:type="dcterms:W3CDTF">2025-03-13T03:45:02Z</dcterms:created>
  <dcterms:modified xsi:type="dcterms:W3CDTF">2025-05-25T04:18:58Z</dcterms:modified>
</cp:coreProperties>
</file>